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ncosc-my.sharepoint.com/personal/marcia_evans_ncosc_gov/Documents/CPE stuff/"/>
    </mc:Choice>
  </mc:AlternateContent>
  <xr:revisionPtr revIDLastSave="0" documentId="8_{693B967D-77E3-4F8F-9E86-51EC41A21386}" xr6:coauthVersionLast="47" xr6:coauthVersionMax="47" xr10:uidLastSave="{00000000-0000-0000-0000-000000000000}"/>
  <bookViews>
    <workbookView xWindow="-108" yWindow="-108" windowWidth="23256" windowHeight="12456" xr2:uid="{00000000-000D-0000-FFFF-FFFF00000000}"/>
  </bookViews>
  <sheets>
    <sheet name="Inventory" sheetId="4" r:id="rId1"/>
    <sheet name="Notes Tab" sheetId="22" r:id="rId2"/>
    <sheet name="Asset Classes" sheetId="6" r:id="rId3"/>
    <sheet name="Notes_Instructions - to ws" sheetId="7" r:id="rId4"/>
    <sheet name="Sum_AmSched" sheetId="26" r:id="rId5"/>
    <sheet name="Template" sheetId="8" r:id="rId6"/>
    <sheet name="BegTab" sheetId="21" r:id="rId7"/>
    <sheet name="End Tab" sheetId="9" r:id="rId8"/>
    <sheet name="Lessee-Capital Assets" sheetId="23" r:id="rId9"/>
    <sheet name="DefInflow" sheetId="30" r:id="rId10"/>
    <sheet name="Journal Entry" sheetId="29" r:id="rId11"/>
    <sheet name="Capital and LT Rollforward" sheetId="32" r:id="rId12"/>
  </sheets>
  <externalReferences>
    <externalReference r:id="rId13"/>
    <externalReference r:id="rId14"/>
    <externalReference r:id="rId15"/>
  </externalReferences>
  <definedNames>
    <definedName name="_xlnm._FilterDatabase" localSheetId="5" hidden="1">Template!$B$16:$N$349</definedName>
    <definedName name="ActualNumberOfPayments" localSheetId="11">IFERROR(IF('Capital and LT Rollforward'!LoanIsGood,IF('Capital and LT Rollforward'!PaymentsPerYear=1,1,MATCH(0.01,'Capital and LT Rollforward'!End_Bal,-1)+1)),"")</definedName>
    <definedName name="ActualNumberOfPayments" localSheetId="9">IFERROR(IF(DefInflow!LoanIsGood,IF(DefInflow!PaymentsPerYear=1,1,MATCH(0.01,DefInflow!End_Bal,-1)+1)),"")</definedName>
    <definedName name="ActualNumberOfPayments" localSheetId="10">IFERROR(IF('Journal Entry'!LoanIsGood,IF('Journal Entry'!PaymentsPerYear=1,1,MATCH(0.01,'Journal Entry'!End_Bal,-1)+1)),"")</definedName>
    <definedName name="ActualNumberOfPayments">IFERROR(IF(LoanIsGood,IF(PaymentsPerYear=1,1,MATCH(0.01,End_Bal,-1)+1)),"")</definedName>
    <definedName name="Adj_Rate" localSheetId="11">[1]Template!$G$13</definedName>
    <definedName name="Adj_Rate" localSheetId="9">#REF!</definedName>
    <definedName name="Adj_Rate" localSheetId="10">#REF!</definedName>
    <definedName name="Adj_Rate">Template!$G$13</definedName>
    <definedName name="Asset_Purchase" localSheetId="11">'[2]2. Lease Input Sheet'!$F$47</definedName>
    <definedName name="Asset_Purchase">#REF!</definedName>
    <definedName name="End_Bal" localSheetId="11">[1]Template!$C$8</definedName>
    <definedName name="End_Bal" localSheetId="9">#REF!</definedName>
    <definedName name="End_Bal" localSheetId="10">#REF!</definedName>
    <definedName name="End_Bal">Template!$C$8</definedName>
    <definedName name="first_pmt_date" localSheetId="11">'[2]2. Lease Input Sheet'!$F$32</definedName>
    <definedName name="first_pmt_date">#REF!</definedName>
    <definedName name="lease_comm_date">Template!$E$19</definedName>
    <definedName name="LoanIsGood" localSheetId="11">(#REF!*#REF!*#REF!*#REF!)&gt;0</definedName>
    <definedName name="LoanIsGood" localSheetId="9">(#REF!*#REF!*#REF!*#REF!)&gt;0</definedName>
    <definedName name="LoanIsGood" localSheetId="10">(#REF!*#REF!*#REF!*#REF!)&gt;0</definedName>
    <definedName name="LoanIsGood">(#REF!*#REF!*#REF!*#REF!)&gt;0</definedName>
    <definedName name="LoanPeriod" localSheetId="11">#REF!</definedName>
    <definedName name="LoanPeriod" localSheetId="9">#REF!</definedName>
    <definedName name="LoanPeriod" localSheetId="10">#REF!</definedName>
    <definedName name="LoanPeriod">#REF!</definedName>
    <definedName name="Ownship_Transfer" localSheetId="11">'[2]2. Lease Input Sheet'!$F$26</definedName>
    <definedName name="Ownship_Transfer">#REF!</definedName>
    <definedName name="payfreq" localSheetId="11">[1]Template!$G$9</definedName>
    <definedName name="payfreq" localSheetId="9">#REF!</definedName>
    <definedName name="payfreq" localSheetId="10">#REF!</definedName>
    <definedName name="payfreq">Template!$G$9</definedName>
    <definedName name="PaymentsPerYear" localSheetId="11">#REF!</definedName>
    <definedName name="PaymentsPerYear" localSheetId="9">#REF!</definedName>
    <definedName name="PaymentsPerYear" localSheetId="10">#REF!</definedName>
    <definedName name="PaymentsPerYear">#REF!</definedName>
    <definedName name="pmt_timing" localSheetId="11">[1]Template!$G$12</definedName>
    <definedName name="pmt_timing" localSheetId="9">#REF!</definedName>
    <definedName name="pmt_timing" localSheetId="10">#REF!</definedName>
    <definedName name="pmt_timing">Template!$G$12</definedName>
    <definedName name="term" localSheetId="11">[1]Template!$G$7</definedName>
    <definedName name="term" localSheetId="9">+#REF!</definedName>
    <definedName name="term" localSheetId="10">+#REF!</definedName>
    <definedName name="term">Template!$G$7</definedName>
    <definedName name="TotalInterest" localSheetId="11">SUM([3]!PaymentSchedule[INTEREST])</definedName>
    <definedName name="TotalInter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2" l="1"/>
  <c r="F33" i="32"/>
  <c r="D33" i="32"/>
  <c r="B33" i="32"/>
  <c r="H32" i="32"/>
  <c r="H33" i="32" s="1"/>
  <c r="F20" i="32"/>
  <c r="D20" i="32"/>
  <c r="B20" i="32"/>
  <c r="H19" i="32"/>
  <c r="H18" i="32"/>
  <c r="H20" i="32" s="1"/>
  <c r="F15" i="32"/>
  <c r="D15" i="32"/>
  <c r="B15" i="32"/>
  <c r="B22" i="32" s="1"/>
  <c r="H13" i="32"/>
  <c r="H12" i="32"/>
  <c r="H15" i="32" l="1"/>
  <c r="H22" i="32" s="1"/>
  <c r="D22" i="32"/>
  <c r="F22" i="32"/>
  <c r="AG14" i="30"/>
  <c r="F14" i="30"/>
  <c r="AG13" i="30"/>
  <c r="F13" i="30"/>
  <c r="AG12" i="30"/>
  <c r="F12" i="30"/>
  <c r="E10" i="30"/>
  <c r="AI10" i="30" s="1"/>
  <c r="E9" i="30"/>
  <c r="AI9" i="30" s="1"/>
  <c r="E8" i="30"/>
  <c r="AI8" i="30" s="1"/>
  <c r="E7" i="30"/>
  <c r="AI7" i="30" s="1"/>
  <c r="E6" i="30"/>
  <c r="AI6" i="30" s="1"/>
  <c r="G6" i="30" s="1"/>
  <c r="H9" i="30" l="1"/>
  <c r="AJ9" i="30" s="1"/>
  <c r="I9" i="30" s="1"/>
  <c r="AK9" i="30" s="1"/>
  <c r="H8" i="30"/>
  <c r="AJ8" i="30" s="1"/>
  <c r="G8" i="30"/>
  <c r="H7" i="30"/>
  <c r="AJ7" i="30" s="1"/>
  <c r="H10" i="30"/>
  <c r="AJ10" i="30" s="1"/>
  <c r="G10" i="30"/>
  <c r="AD6" i="30"/>
  <c r="AE6" i="30"/>
  <c r="H6" i="30"/>
  <c r="AJ6" i="30" s="1"/>
  <c r="AF6" i="30"/>
  <c r="G7" i="30"/>
  <c r="G9" i="30"/>
  <c r="I8" i="30" l="1"/>
  <c r="AK8" i="30" s="1"/>
  <c r="J9" i="30"/>
  <c r="AL9" i="30" s="1"/>
  <c r="I10" i="30"/>
  <c r="AK10" i="30" s="1"/>
  <c r="I7" i="30"/>
  <c r="AK7" i="30" s="1"/>
  <c r="I6" i="30"/>
  <c r="AK6" i="30" s="1"/>
  <c r="J6" i="30" l="1"/>
  <c r="AL6" i="30" s="1"/>
  <c r="J10" i="30"/>
  <c r="AL10" i="30" s="1"/>
  <c r="J8" i="30"/>
  <c r="AL8" i="30" s="1"/>
  <c r="J7" i="30"/>
  <c r="AL7" i="30" s="1"/>
  <c r="K9" i="30"/>
  <c r="AM9" i="30" s="1"/>
  <c r="L9" i="30" l="1"/>
  <c r="AN9" i="30" s="1"/>
  <c r="K7" i="30"/>
  <c r="AM7" i="30" s="1"/>
  <c r="K8" i="30"/>
  <c r="AM8" i="30" s="1"/>
  <c r="K10" i="30"/>
  <c r="AM10" i="30" s="1"/>
  <c r="K6" i="30"/>
  <c r="AM6" i="30" s="1"/>
  <c r="L6" i="30" l="1"/>
  <c r="AN6" i="30" s="1"/>
  <c r="L10" i="30"/>
  <c r="AN10" i="30" s="1"/>
  <c r="L8" i="30"/>
  <c r="AN8" i="30" s="1"/>
  <c r="L7" i="30"/>
  <c r="AN7" i="30" s="1"/>
  <c r="M9" i="30"/>
  <c r="AO9" i="30"/>
  <c r="M8" i="30" l="1"/>
  <c r="AO8" i="30" s="1"/>
  <c r="M10" i="30"/>
  <c r="AO10" i="30" s="1"/>
  <c r="M6" i="30"/>
  <c r="AO6" i="30" s="1"/>
  <c r="N9" i="30"/>
  <c r="AP9" i="30" s="1"/>
  <c r="M7" i="30"/>
  <c r="AO7" i="30" s="1"/>
  <c r="N6" i="30" l="1"/>
  <c r="AP6" i="30" s="1"/>
  <c r="N10" i="30"/>
  <c r="AP10" i="30" s="1"/>
  <c r="N7" i="30"/>
  <c r="AP7" i="30" s="1"/>
  <c r="O9" i="30"/>
  <c r="AQ9" i="30" s="1"/>
  <c r="N8" i="30"/>
  <c r="AP8" i="30" s="1"/>
  <c r="P9" i="30" l="1"/>
  <c r="AR9" i="30" s="1"/>
  <c r="O7" i="30"/>
  <c r="AQ7" i="30" s="1"/>
  <c r="O10" i="30"/>
  <c r="AQ10" i="30" s="1"/>
  <c r="O8" i="30"/>
  <c r="AQ8" i="30" s="1"/>
  <c r="O6" i="30"/>
  <c r="AQ6" i="30" s="1"/>
  <c r="P6" i="30" l="1"/>
  <c r="AR6" i="30" s="1"/>
  <c r="P8" i="30"/>
  <c r="AR8" i="30" s="1"/>
  <c r="P10" i="30"/>
  <c r="AR10" i="30" s="1"/>
  <c r="P7" i="30"/>
  <c r="AR7" i="30" s="1"/>
  <c r="Q9" i="30"/>
  <c r="AS9" i="30" s="1"/>
  <c r="R9" i="30" l="1"/>
  <c r="AT9" i="30" s="1"/>
  <c r="Q7" i="30"/>
  <c r="AS7" i="30" s="1"/>
  <c r="Q8" i="30"/>
  <c r="AS8" i="30" s="1"/>
  <c r="Q6" i="30"/>
  <c r="AS6" i="30" s="1"/>
  <c r="Q10" i="30"/>
  <c r="AS10" i="30" s="1"/>
  <c r="R10" i="30" l="1"/>
  <c r="AT10" i="30" s="1"/>
  <c r="R6" i="30"/>
  <c r="AT6" i="30" s="1"/>
  <c r="R8" i="30"/>
  <c r="AT8" i="30" s="1"/>
  <c r="R7" i="30"/>
  <c r="AT7" i="30" s="1"/>
  <c r="S9" i="30"/>
  <c r="AU9" i="30" s="1"/>
  <c r="T9" i="30" l="1"/>
  <c r="AV9" i="30" s="1"/>
  <c r="S7" i="30"/>
  <c r="AU7" i="30" s="1"/>
  <c r="S8" i="30"/>
  <c r="AU8" i="30" s="1"/>
  <c r="S6" i="30"/>
  <c r="AU6" i="30" s="1"/>
  <c r="S10" i="30"/>
  <c r="AU10" i="30" s="1"/>
  <c r="T10" i="30" l="1"/>
  <c r="AV10" i="30" s="1"/>
  <c r="T6" i="30"/>
  <c r="AV6" i="30" s="1"/>
  <c r="T8" i="30"/>
  <c r="AV8" i="30" s="1"/>
  <c r="T7" i="30"/>
  <c r="AV7" i="30" s="1"/>
  <c r="U9" i="30"/>
  <c r="AW9" i="30" s="1"/>
  <c r="V9" i="30" l="1"/>
  <c r="AX9" i="30" s="1"/>
  <c r="U7" i="30"/>
  <c r="AW7" i="30" s="1"/>
  <c r="U8" i="30"/>
  <c r="AW8" i="30" s="1"/>
  <c r="U6" i="30"/>
  <c r="AW6" i="30" s="1"/>
  <c r="U10" i="30"/>
  <c r="AW10" i="30" s="1"/>
  <c r="V10" i="30" l="1"/>
  <c r="AX10" i="30" s="1"/>
  <c r="V8" i="30"/>
  <c r="AX8" i="30" s="1"/>
  <c r="V6" i="30"/>
  <c r="AX6" i="30" s="1"/>
  <c r="W9" i="30"/>
  <c r="AY9" i="30" s="1"/>
  <c r="V7" i="30"/>
  <c r="AX7" i="30"/>
  <c r="X9" i="30" l="1"/>
  <c r="AZ9" i="30" s="1"/>
  <c r="W8" i="30"/>
  <c r="AY8" i="30" s="1"/>
  <c r="W10" i="30"/>
  <c r="AY10" i="30" s="1"/>
  <c r="W7" i="30"/>
  <c r="AY7" i="30" s="1"/>
  <c r="W6" i="30"/>
  <c r="AY6" i="30" s="1"/>
  <c r="X6" i="30" l="1"/>
  <c r="AZ6" i="30" s="1"/>
  <c r="X7" i="30"/>
  <c r="AZ7" i="30" s="1"/>
  <c r="X10" i="30"/>
  <c r="AZ10" i="30" s="1"/>
  <c r="Y9" i="30"/>
  <c r="BA9" i="30" s="1"/>
  <c r="X8" i="30"/>
  <c r="AZ8" i="30" s="1"/>
  <c r="Y10" i="30" l="1"/>
  <c r="BA10" i="30" s="1"/>
  <c r="Y8" i="30"/>
  <c r="BA8" i="30" s="1"/>
  <c r="Z9" i="30"/>
  <c r="BB9" i="30" s="1"/>
  <c r="Y7" i="30"/>
  <c r="BA7" i="30" s="1"/>
  <c r="Y6" i="30"/>
  <c r="BA6" i="30" s="1"/>
  <c r="Z6" i="30" l="1"/>
  <c r="BB6" i="30" s="1"/>
  <c r="AA9" i="30"/>
  <c r="BC9" i="30" s="1"/>
  <c r="Z8" i="30"/>
  <c r="BB8" i="30" s="1"/>
  <c r="Z10" i="30"/>
  <c r="BB10" i="30" s="1"/>
  <c r="Z7" i="30"/>
  <c r="BB7" i="30" s="1"/>
  <c r="AA7" i="30" l="1"/>
  <c r="BC7" i="30" s="1"/>
  <c r="AA10" i="30"/>
  <c r="BC10" i="30" s="1"/>
  <c r="AA8" i="30"/>
  <c r="BC8" i="30" s="1"/>
  <c r="AB9" i="30"/>
  <c r="BD9" i="30" s="1"/>
  <c r="AA6" i="30"/>
  <c r="BC6" i="30" s="1"/>
  <c r="AB6" i="30" l="1"/>
  <c r="BD6" i="30" s="1"/>
  <c r="AC6" i="30" s="1"/>
  <c r="BE9" i="30"/>
  <c r="AC9" i="30"/>
  <c r="AB8" i="30"/>
  <c r="BD8" i="30" s="1"/>
  <c r="AB10" i="30"/>
  <c r="BD10" i="30" s="1"/>
  <c r="AB7" i="30"/>
  <c r="BD7" i="30" s="1"/>
  <c r="BE10" i="30" l="1"/>
  <c r="AC10" i="30"/>
  <c r="BE7" i="30"/>
  <c r="AC7" i="30"/>
  <c r="BE8" i="30"/>
  <c r="AC8" i="30"/>
  <c r="BF9" i="30"/>
  <c r="AD9" i="30"/>
  <c r="BF7" i="30" l="1"/>
  <c r="AD7" i="30"/>
  <c r="BG9" i="30"/>
  <c r="AE9" i="30"/>
  <c r="BF8" i="30"/>
  <c r="AD8" i="30"/>
  <c r="BF10" i="30"/>
  <c r="AD10" i="30"/>
  <c r="BG10" i="30" l="1"/>
  <c r="AE10" i="30"/>
  <c r="BG8" i="30"/>
  <c r="AE8" i="30"/>
  <c r="BH9" i="30"/>
  <c r="BI9" i="30" s="1"/>
  <c r="BJ9" i="30" s="1"/>
  <c r="BK9" i="30" s="1"/>
  <c r="BL9" i="30" s="1"/>
  <c r="BM9" i="30" s="1"/>
  <c r="BN9" i="30" s="1"/>
  <c r="BO9" i="30" s="1"/>
  <c r="BP9" i="30" s="1"/>
  <c r="BQ9" i="30" s="1"/>
  <c r="BR9" i="30" s="1"/>
  <c r="BS9" i="30" s="1"/>
  <c r="BT9" i="30" s="1"/>
  <c r="BU9" i="30" s="1"/>
  <c r="AF9" i="30"/>
  <c r="BG7" i="30"/>
  <c r="AE7" i="30"/>
  <c r="BH7" i="30" l="1"/>
  <c r="BI7" i="30" s="1"/>
  <c r="BJ7" i="30" s="1"/>
  <c r="BK7" i="30" s="1"/>
  <c r="BL7" i="30" s="1"/>
  <c r="BM7" i="30" s="1"/>
  <c r="BN7" i="30" s="1"/>
  <c r="BO7" i="30" s="1"/>
  <c r="BP7" i="30" s="1"/>
  <c r="BQ7" i="30" s="1"/>
  <c r="BR7" i="30" s="1"/>
  <c r="BS7" i="30" s="1"/>
  <c r="BT7" i="30" s="1"/>
  <c r="BU7" i="30" s="1"/>
  <c r="AF7" i="30"/>
  <c r="BH8" i="30"/>
  <c r="BI8" i="30" s="1"/>
  <c r="BJ8" i="30" s="1"/>
  <c r="BK8" i="30" s="1"/>
  <c r="BL8" i="30" s="1"/>
  <c r="BM8" i="30" s="1"/>
  <c r="BN8" i="30" s="1"/>
  <c r="BO8" i="30" s="1"/>
  <c r="BP8" i="30" s="1"/>
  <c r="BQ8" i="30" s="1"/>
  <c r="BR8" i="30" s="1"/>
  <c r="BS8" i="30" s="1"/>
  <c r="BT8" i="30" s="1"/>
  <c r="BU8" i="30" s="1"/>
  <c r="AF8" i="30"/>
  <c r="BH10" i="30"/>
  <c r="BI10" i="30" s="1"/>
  <c r="BJ10" i="30" s="1"/>
  <c r="BK10" i="30" s="1"/>
  <c r="BL10" i="30" s="1"/>
  <c r="BM10" i="30" s="1"/>
  <c r="BN10" i="30" s="1"/>
  <c r="BO10" i="30" s="1"/>
  <c r="BP10" i="30" s="1"/>
  <c r="BQ10" i="30" s="1"/>
  <c r="BR10" i="30" s="1"/>
  <c r="BS10" i="30" s="1"/>
  <c r="BT10" i="30" s="1"/>
  <c r="BU10" i="30" s="1"/>
  <c r="AF10" i="30"/>
  <c r="B5" i="26" l="1"/>
  <c r="B10" i="26" s="1"/>
  <c r="B12" i="26" s="1"/>
  <c r="A5" i="26"/>
  <c r="A10"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C12" i="26" l="1"/>
  <c r="G12" i="26" s="1"/>
  <c r="B13" i="26"/>
  <c r="C10" i="26"/>
  <c r="G10" i="26" s="1"/>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AC201" i="4"/>
  <c r="AC202" i="4"/>
  <c r="AC203" i="4"/>
  <c r="AC204" i="4"/>
  <c r="AC205" i="4"/>
  <c r="AC206" i="4"/>
  <c r="AC207" i="4"/>
  <c r="AC208" i="4"/>
  <c r="AC209" i="4"/>
  <c r="AC210" i="4"/>
  <c r="AC211" i="4"/>
  <c r="AC212" i="4"/>
  <c r="AC213" i="4"/>
  <c r="AC214" i="4"/>
  <c r="AC215" i="4"/>
  <c r="AC216" i="4"/>
  <c r="AC217" i="4"/>
  <c r="AC218" i="4"/>
  <c r="AC219" i="4"/>
  <c r="AC220" i="4"/>
  <c r="AC221" i="4"/>
  <c r="AC222" i="4"/>
  <c r="AC223" i="4"/>
  <c r="AC224" i="4"/>
  <c r="AC225" i="4"/>
  <c r="AC226" i="4"/>
  <c r="AC227" i="4"/>
  <c r="AC228" i="4"/>
  <c r="AC229" i="4"/>
  <c r="AC230" i="4"/>
  <c r="AC231" i="4"/>
  <c r="AC232" i="4"/>
  <c r="AC233" i="4"/>
  <c r="AC234" i="4"/>
  <c r="AC235" i="4"/>
  <c r="AC236" i="4"/>
  <c r="AC237" i="4"/>
  <c r="AC238" i="4"/>
  <c r="AC239" i="4"/>
  <c r="AC240" i="4"/>
  <c r="AC241" i="4"/>
  <c r="AC242" i="4"/>
  <c r="AC243" i="4"/>
  <c r="AC244" i="4"/>
  <c r="AC245" i="4"/>
  <c r="AC246" i="4"/>
  <c r="AC247" i="4"/>
  <c r="AC248" i="4"/>
  <c r="AC249" i="4"/>
  <c r="AC250" i="4"/>
  <c r="AC251" i="4"/>
  <c r="AC252" i="4"/>
  <c r="AC253" i="4"/>
  <c r="AC254" i="4"/>
  <c r="AC255" i="4"/>
  <c r="AC256" i="4"/>
  <c r="AC257" i="4"/>
  <c r="AC258" i="4"/>
  <c r="AC259" i="4"/>
  <c r="AC260" i="4"/>
  <c r="AC261" i="4"/>
  <c r="AC262" i="4"/>
  <c r="AC263" i="4"/>
  <c r="AC264" i="4"/>
  <c r="AC265" i="4"/>
  <c r="AC266" i="4"/>
  <c r="AC267" i="4"/>
  <c r="AC268" i="4"/>
  <c r="AC269" i="4"/>
  <c r="AC270" i="4"/>
  <c r="AC271" i="4"/>
  <c r="AC272" i="4"/>
  <c r="AC273" i="4"/>
  <c r="AC274" i="4"/>
  <c r="AC275" i="4"/>
  <c r="AC276" i="4"/>
  <c r="AC277" i="4"/>
  <c r="AC278" i="4"/>
  <c r="AC279" i="4"/>
  <c r="AC280" i="4"/>
  <c r="AC281" i="4"/>
  <c r="AC282" i="4"/>
  <c r="AC283" i="4"/>
  <c r="AC284" i="4"/>
  <c r="AC285" i="4"/>
  <c r="AC286" i="4"/>
  <c r="AC287" i="4"/>
  <c r="AC288" i="4"/>
  <c r="AC289" i="4"/>
  <c r="AC290" i="4"/>
  <c r="AC291" i="4"/>
  <c r="AC292" i="4"/>
  <c r="AC293" i="4"/>
  <c r="AC294" i="4"/>
  <c r="AC295" i="4"/>
  <c r="AC296" i="4"/>
  <c r="AC297" i="4"/>
  <c r="AC298" i="4"/>
  <c r="AC299" i="4"/>
  <c r="AC300" i="4"/>
  <c r="AC301" i="4"/>
  <c r="AC302" i="4"/>
  <c r="AC303" i="4"/>
  <c r="AC304" i="4"/>
  <c r="AC305" i="4"/>
  <c r="AC306" i="4"/>
  <c r="AC307" i="4"/>
  <c r="AC308" i="4"/>
  <c r="AC309" i="4"/>
  <c r="AC310" i="4"/>
  <c r="AC311" i="4"/>
  <c r="AC312" i="4"/>
  <c r="AC313" i="4"/>
  <c r="AC314" i="4"/>
  <c r="AC315" i="4"/>
  <c r="AC316" i="4"/>
  <c r="AC317" i="4"/>
  <c r="AC318" i="4"/>
  <c r="AC319" i="4"/>
  <c r="AC320" i="4"/>
  <c r="AC321" i="4"/>
  <c r="AC322" i="4"/>
  <c r="AC323" i="4"/>
  <c r="AC324" i="4"/>
  <c r="AC325" i="4"/>
  <c r="AC326" i="4"/>
  <c r="AC327" i="4"/>
  <c r="AC328" i="4"/>
  <c r="AC329" i="4"/>
  <c r="AC330" i="4"/>
  <c r="AC331" i="4"/>
  <c r="AC332" i="4"/>
  <c r="AC333" i="4"/>
  <c r="AC334" i="4"/>
  <c r="AC335" i="4"/>
  <c r="AC336" i="4"/>
  <c r="AC337" i="4"/>
  <c r="AC338" i="4"/>
  <c r="AC339" i="4"/>
  <c r="AC340" i="4"/>
  <c r="AC341" i="4"/>
  <c r="AC342" i="4"/>
  <c r="AC343" i="4"/>
  <c r="AC344" i="4"/>
  <c r="AC345" i="4"/>
  <c r="AC346" i="4"/>
  <c r="AC347" i="4"/>
  <c r="AC348" i="4"/>
  <c r="AC349" i="4"/>
  <c r="AC350" i="4"/>
  <c r="AC351" i="4"/>
  <c r="AC352" i="4"/>
  <c r="AC353" i="4"/>
  <c r="AC354" i="4"/>
  <c r="AC355" i="4"/>
  <c r="AC356" i="4"/>
  <c r="AC357" i="4"/>
  <c r="AC358" i="4"/>
  <c r="AC359" i="4"/>
  <c r="AC360" i="4"/>
  <c r="AC361" i="4"/>
  <c r="AC362" i="4"/>
  <c r="AC363" i="4"/>
  <c r="AC364" i="4"/>
  <c r="AC365" i="4"/>
  <c r="AC366" i="4"/>
  <c r="AC367" i="4"/>
  <c r="AC368" i="4"/>
  <c r="AC369" i="4"/>
  <c r="AC370" i="4"/>
  <c r="AC371" i="4"/>
  <c r="AC372" i="4"/>
  <c r="AC373" i="4"/>
  <c r="AC374" i="4"/>
  <c r="AC375" i="4"/>
  <c r="AC376" i="4"/>
  <c r="AC377" i="4"/>
  <c r="AC378" i="4"/>
  <c r="AC379" i="4"/>
  <c r="AC380" i="4"/>
  <c r="AC381" i="4"/>
  <c r="AC382" i="4"/>
  <c r="AC383" i="4"/>
  <c r="AC384" i="4"/>
  <c r="AC385" i="4"/>
  <c r="AC386" i="4"/>
  <c r="AC387" i="4"/>
  <c r="AC388" i="4"/>
  <c r="AC389" i="4"/>
  <c r="AC390" i="4"/>
  <c r="AC391" i="4"/>
  <c r="AC392" i="4"/>
  <c r="AC393" i="4"/>
  <c r="AC394" i="4"/>
  <c r="AC395" i="4"/>
  <c r="AC396" i="4"/>
  <c r="AC397" i="4"/>
  <c r="AC398" i="4"/>
  <c r="AC399" i="4"/>
  <c r="AC400" i="4"/>
  <c r="AC401" i="4"/>
  <c r="AC402" i="4"/>
  <c r="AC403" i="4"/>
  <c r="AC404" i="4"/>
  <c r="AC405" i="4"/>
  <c r="AC406" i="4"/>
  <c r="AC407" i="4"/>
  <c r="AC408" i="4"/>
  <c r="AC409" i="4"/>
  <c r="AC410" i="4"/>
  <c r="AC411" i="4"/>
  <c r="AC412" i="4"/>
  <c r="AC413" i="4"/>
  <c r="AC414" i="4"/>
  <c r="AC415" i="4"/>
  <c r="AC416" i="4"/>
  <c r="AC417" i="4"/>
  <c r="AC418" i="4"/>
  <c r="AC419" i="4"/>
  <c r="AC420" i="4"/>
  <c r="AC421" i="4"/>
  <c r="AC422" i="4"/>
  <c r="AC423" i="4"/>
  <c r="AC424" i="4"/>
  <c r="AC425" i="4"/>
  <c r="AC426" i="4"/>
  <c r="AC427" i="4"/>
  <c r="AC428" i="4"/>
  <c r="AC429" i="4"/>
  <c r="AC430" i="4"/>
  <c r="AC431" i="4"/>
  <c r="AC432" i="4"/>
  <c r="AC433" i="4"/>
  <c r="AC434" i="4"/>
  <c r="AC435" i="4"/>
  <c r="AC436" i="4"/>
  <c r="AC437" i="4"/>
  <c r="AC438" i="4"/>
  <c r="AC439" i="4"/>
  <c r="AC440" i="4"/>
  <c r="AC441" i="4"/>
  <c r="AC442" i="4"/>
  <c r="AC443" i="4"/>
  <c r="AC444" i="4"/>
  <c r="AC445" i="4"/>
  <c r="AC446" i="4"/>
  <c r="AC447" i="4"/>
  <c r="AC448" i="4"/>
  <c r="AC449" i="4"/>
  <c r="AC450" i="4"/>
  <c r="AC451" i="4"/>
  <c r="AC452" i="4"/>
  <c r="AC453" i="4"/>
  <c r="AC454" i="4"/>
  <c r="AC455" i="4"/>
  <c r="AC456" i="4"/>
  <c r="AC457" i="4"/>
  <c r="AC458" i="4"/>
  <c r="AC459" i="4"/>
  <c r="AC460" i="4"/>
  <c r="AC461" i="4"/>
  <c r="AC462" i="4"/>
  <c r="AC463" i="4"/>
  <c r="AC464" i="4"/>
  <c r="AC465" i="4"/>
  <c r="AC466" i="4"/>
  <c r="AC467" i="4"/>
  <c r="AC468" i="4"/>
  <c r="AC469" i="4"/>
  <c r="AC470" i="4"/>
  <c r="AC471" i="4"/>
  <c r="AC472" i="4"/>
  <c r="AC473" i="4"/>
  <c r="AC474" i="4"/>
  <c r="AC475" i="4"/>
  <c r="AC476" i="4"/>
  <c r="AC477" i="4"/>
  <c r="AC478" i="4"/>
  <c r="AC479" i="4"/>
  <c r="AC480" i="4"/>
  <c r="AC481" i="4"/>
  <c r="AC482" i="4"/>
  <c r="AC483" i="4"/>
  <c r="AC484" i="4"/>
  <c r="AC485" i="4"/>
  <c r="AC486" i="4"/>
  <c r="AC487" i="4"/>
  <c r="AC488" i="4"/>
  <c r="AC489" i="4"/>
  <c r="AC490" i="4"/>
  <c r="AC491" i="4"/>
  <c r="AC492" i="4"/>
  <c r="AC493" i="4"/>
  <c r="AC494" i="4"/>
  <c r="AC495" i="4"/>
  <c r="AC496" i="4"/>
  <c r="AC497" i="4"/>
  <c r="AC498" i="4"/>
  <c r="AC499" i="4"/>
  <c r="AC500" i="4"/>
  <c r="AC501" i="4"/>
  <c r="AC502" i="4"/>
  <c r="AC503" i="4"/>
  <c r="AC504" i="4"/>
  <c r="AC505" i="4"/>
  <c r="AC506" i="4"/>
  <c r="AC507" i="4"/>
  <c r="AC508" i="4"/>
  <c r="AC509" i="4"/>
  <c r="AC510" i="4"/>
  <c r="AC511" i="4"/>
  <c r="AC512" i="4"/>
  <c r="AC513" i="4"/>
  <c r="AC514" i="4"/>
  <c r="AC515" i="4"/>
  <c r="AC516" i="4"/>
  <c r="AC517" i="4"/>
  <c r="AC518" i="4"/>
  <c r="AC519" i="4"/>
  <c r="AC520" i="4"/>
  <c r="AC521" i="4"/>
  <c r="AC522" i="4"/>
  <c r="AC523" i="4"/>
  <c r="AC524" i="4"/>
  <c r="AC525" i="4"/>
  <c r="AC526" i="4"/>
  <c r="AC527" i="4"/>
  <c r="AC528" i="4"/>
  <c r="AC529" i="4"/>
  <c r="AC530" i="4"/>
  <c r="AC531" i="4"/>
  <c r="AC532" i="4"/>
  <c r="AC533" i="4"/>
  <c r="AC534" i="4"/>
  <c r="AC535" i="4"/>
  <c r="AC536" i="4"/>
  <c r="AC537" i="4"/>
  <c r="AC538" i="4"/>
  <c r="AC539" i="4"/>
  <c r="AC540" i="4"/>
  <c r="AC541" i="4"/>
  <c r="AC542" i="4"/>
  <c r="AC543" i="4"/>
  <c r="AC544" i="4"/>
  <c r="AC545" i="4"/>
  <c r="AC546" i="4"/>
  <c r="AC547" i="4"/>
  <c r="AC548" i="4"/>
  <c r="AC549" i="4"/>
  <c r="AC550" i="4"/>
  <c r="AC4" i="4"/>
  <c r="AB4" i="4"/>
  <c r="B14" i="26" l="1"/>
  <c r="C13" i="26"/>
  <c r="G13" i="26" s="1"/>
  <c r="I19" i="23"/>
  <c r="E19" i="23" s="1"/>
  <c r="F19" i="23" s="1"/>
  <c r="I18" i="23"/>
  <c r="E18" i="23" s="1"/>
  <c r="F18" i="23" s="1"/>
  <c r="I17" i="23"/>
  <c r="E17" i="23" s="1"/>
  <c r="F17" i="23" s="1"/>
  <c r="I16" i="23"/>
  <c r="E16" i="23" s="1"/>
  <c r="F16" i="23" s="1"/>
  <c r="I15" i="23"/>
  <c r="E15" i="23" s="1"/>
  <c r="F15" i="23" s="1"/>
  <c r="I14" i="23"/>
  <c r="E14" i="23" s="1"/>
  <c r="F14" i="23" s="1"/>
  <c r="I13" i="23"/>
  <c r="E13" i="23"/>
  <c r="F13" i="23" s="1"/>
  <c r="I12" i="23"/>
  <c r="E12" i="23" s="1"/>
  <c r="F12" i="23" s="1"/>
  <c r="I11" i="23"/>
  <c r="E11" i="23" s="1"/>
  <c r="F11" i="23" s="1"/>
  <c r="I10" i="23"/>
  <c r="E10" i="23" s="1"/>
  <c r="F10" i="23" s="1"/>
  <c r="I9" i="23"/>
  <c r="E9" i="23" s="1"/>
  <c r="F9" i="23" s="1"/>
  <c r="I8" i="23"/>
  <c r="E8" i="23" s="1"/>
  <c r="F8" i="23" s="1"/>
  <c r="I7" i="23"/>
  <c r="E7" i="23" s="1"/>
  <c r="F7" i="23" s="1"/>
  <c r="D47" i="23"/>
  <c r="I35" i="23"/>
  <c r="E35" i="23" s="1"/>
  <c r="F35" i="23" s="1"/>
  <c r="I34" i="23"/>
  <c r="E34" i="23" s="1"/>
  <c r="F34" i="23" s="1"/>
  <c r="I33" i="23"/>
  <c r="E33" i="23" s="1"/>
  <c r="F33" i="23" s="1"/>
  <c r="I32" i="23"/>
  <c r="E32" i="23"/>
  <c r="F32" i="23" s="1"/>
  <c r="I31" i="23"/>
  <c r="E31" i="23" s="1"/>
  <c r="F31" i="23" s="1"/>
  <c r="I30" i="23"/>
  <c r="E30" i="23" s="1"/>
  <c r="F30" i="23" s="1"/>
  <c r="I29" i="23"/>
  <c r="E29" i="23" s="1"/>
  <c r="F29" i="23" s="1"/>
  <c r="I28" i="23"/>
  <c r="E28" i="23" s="1"/>
  <c r="F28" i="23" s="1"/>
  <c r="I27" i="23"/>
  <c r="E27" i="23" s="1"/>
  <c r="F27" i="23" s="1"/>
  <c r="I26" i="23"/>
  <c r="E26" i="23" s="1"/>
  <c r="F26" i="23" s="1"/>
  <c r="I25" i="23"/>
  <c r="E25" i="23" s="1"/>
  <c r="F25" i="23" s="1"/>
  <c r="I24" i="23"/>
  <c r="E24" i="23" s="1"/>
  <c r="F24" i="23" s="1"/>
  <c r="I23" i="23"/>
  <c r="E23" i="23" s="1"/>
  <c r="F23" i="23" s="1"/>
  <c r="I22" i="23"/>
  <c r="E22" i="23" s="1"/>
  <c r="F22" i="23" s="1"/>
  <c r="I21" i="23"/>
  <c r="E21" i="23" s="1"/>
  <c r="F21" i="23" s="1"/>
  <c r="I20" i="23"/>
  <c r="E20" i="23" s="1"/>
  <c r="F20" i="23" s="1"/>
  <c r="I6" i="23"/>
  <c r="E6" i="23" s="1"/>
  <c r="F6" i="23" s="1"/>
  <c r="B15" i="26" l="1"/>
  <c r="C14" i="26"/>
  <c r="G14" i="26" s="1"/>
  <c r="D48" i="23"/>
  <c r="C37" i="23"/>
  <c r="C46" i="23" s="1"/>
  <c r="C15" i="26" l="1"/>
  <c r="G15" i="26" s="1"/>
  <c r="B16" i="26"/>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4" i="4"/>
  <c r="B17" i="26" l="1"/>
  <c r="C16" i="26"/>
  <c r="G16" i="26" s="1"/>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B286" i="4"/>
  <c r="AB287" i="4"/>
  <c r="AB288" i="4"/>
  <c r="AB289" i="4"/>
  <c r="AB290" i="4"/>
  <c r="AB291" i="4"/>
  <c r="AB292" i="4"/>
  <c r="AB293" i="4"/>
  <c r="AB294" i="4"/>
  <c r="AB295" i="4"/>
  <c r="AB296" i="4"/>
  <c r="AB297" i="4"/>
  <c r="AB298" i="4"/>
  <c r="AB299" i="4"/>
  <c r="AB300" i="4"/>
  <c r="AB301" i="4"/>
  <c r="AB302" i="4"/>
  <c r="AB303" i="4"/>
  <c r="AB304" i="4"/>
  <c r="AB305" i="4"/>
  <c r="AB306" i="4"/>
  <c r="AB307" i="4"/>
  <c r="AB308" i="4"/>
  <c r="AB309" i="4"/>
  <c r="AB310" i="4"/>
  <c r="AB311" i="4"/>
  <c r="AB312" i="4"/>
  <c r="AB313" i="4"/>
  <c r="AB314" i="4"/>
  <c r="AB315" i="4"/>
  <c r="AB316" i="4"/>
  <c r="AB317" i="4"/>
  <c r="AB318" i="4"/>
  <c r="AB319" i="4"/>
  <c r="AB320" i="4"/>
  <c r="AB321" i="4"/>
  <c r="AB322" i="4"/>
  <c r="AB323" i="4"/>
  <c r="AB324" i="4"/>
  <c r="AB325" i="4"/>
  <c r="AB326" i="4"/>
  <c r="AB327" i="4"/>
  <c r="AB328" i="4"/>
  <c r="AB329" i="4"/>
  <c r="AB330" i="4"/>
  <c r="AB331" i="4"/>
  <c r="AB332" i="4"/>
  <c r="AB333" i="4"/>
  <c r="AB334" i="4"/>
  <c r="AB335" i="4"/>
  <c r="AB336" i="4"/>
  <c r="AB337" i="4"/>
  <c r="AB338" i="4"/>
  <c r="AB339" i="4"/>
  <c r="AB340" i="4"/>
  <c r="AB341" i="4"/>
  <c r="AB342" i="4"/>
  <c r="AB343" i="4"/>
  <c r="AB344" i="4"/>
  <c r="AB345" i="4"/>
  <c r="AB346" i="4"/>
  <c r="AB347" i="4"/>
  <c r="AB348" i="4"/>
  <c r="AB349" i="4"/>
  <c r="AB350" i="4"/>
  <c r="AB351" i="4"/>
  <c r="AB352" i="4"/>
  <c r="AB353" i="4"/>
  <c r="AB354" i="4"/>
  <c r="AB355" i="4"/>
  <c r="AB356" i="4"/>
  <c r="AB357" i="4"/>
  <c r="AB358" i="4"/>
  <c r="AB359" i="4"/>
  <c r="AB360" i="4"/>
  <c r="AB361" i="4"/>
  <c r="AB362" i="4"/>
  <c r="AB363" i="4"/>
  <c r="AB364" i="4"/>
  <c r="AB365" i="4"/>
  <c r="AB366" i="4"/>
  <c r="AB367" i="4"/>
  <c r="AB368" i="4"/>
  <c r="AB369" i="4"/>
  <c r="AB370" i="4"/>
  <c r="AB371" i="4"/>
  <c r="AB372" i="4"/>
  <c r="AB373" i="4"/>
  <c r="AB374" i="4"/>
  <c r="AB375" i="4"/>
  <c r="AB376" i="4"/>
  <c r="AB377" i="4"/>
  <c r="AB378" i="4"/>
  <c r="AB379" i="4"/>
  <c r="AB380" i="4"/>
  <c r="AB381" i="4"/>
  <c r="AB382" i="4"/>
  <c r="AB383" i="4"/>
  <c r="AB384" i="4"/>
  <c r="AB385" i="4"/>
  <c r="AB386" i="4"/>
  <c r="AB387" i="4"/>
  <c r="AB388" i="4"/>
  <c r="AB389" i="4"/>
  <c r="AB390" i="4"/>
  <c r="AB391" i="4"/>
  <c r="AB392" i="4"/>
  <c r="AB393" i="4"/>
  <c r="AB394" i="4"/>
  <c r="AB395" i="4"/>
  <c r="AB396" i="4"/>
  <c r="AB397" i="4"/>
  <c r="AB398" i="4"/>
  <c r="AB399" i="4"/>
  <c r="AB400" i="4"/>
  <c r="AB401" i="4"/>
  <c r="AB402" i="4"/>
  <c r="AB403" i="4"/>
  <c r="AB404" i="4"/>
  <c r="AB405" i="4"/>
  <c r="AB406" i="4"/>
  <c r="AB407" i="4"/>
  <c r="AB408" i="4"/>
  <c r="AB409" i="4"/>
  <c r="AB410" i="4"/>
  <c r="AB411" i="4"/>
  <c r="AB412" i="4"/>
  <c r="AB413" i="4"/>
  <c r="AB414" i="4"/>
  <c r="AB415" i="4"/>
  <c r="AB416" i="4"/>
  <c r="AB417" i="4"/>
  <c r="AB418" i="4"/>
  <c r="AB419" i="4"/>
  <c r="AB420" i="4"/>
  <c r="AB421" i="4"/>
  <c r="AB422" i="4"/>
  <c r="AB423" i="4"/>
  <c r="AB424" i="4"/>
  <c r="AB425" i="4"/>
  <c r="AB426" i="4"/>
  <c r="AB427" i="4"/>
  <c r="AB428" i="4"/>
  <c r="AB429" i="4"/>
  <c r="AB430" i="4"/>
  <c r="AB431" i="4"/>
  <c r="AB432" i="4"/>
  <c r="AB433" i="4"/>
  <c r="AB434" i="4"/>
  <c r="AB435" i="4"/>
  <c r="AB436" i="4"/>
  <c r="AB437" i="4"/>
  <c r="AB438" i="4"/>
  <c r="AB439" i="4"/>
  <c r="AB440" i="4"/>
  <c r="AB441" i="4"/>
  <c r="AB442" i="4"/>
  <c r="AB443" i="4"/>
  <c r="AB444" i="4"/>
  <c r="AB445" i="4"/>
  <c r="AB446" i="4"/>
  <c r="AB447" i="4"/>
  <c r="AB448" i="4"/>
  <c r="AB449" i="4"/>
  <c r="AB450" i="4"/>
  <c r="AB451" i="4"/>
  <c r="AB452" i="4"/>
  <c r="AB453" i="4"/>
  <c r="AB454" i="4"/>
  <c r="AB455" i="4"/>
  <c r="AB456" i="4"/>
  <c r="AB457" i="4"/>
  <c r="AB458" i="4"/>
  <c r="AB459" i="4"/>
  <c r="AB460" i="4"/>
  <c r="AB461" i="4"/>
  <c r="AB462" i="4"/>
  <c r="AB463" i="4"/>
  <c r="AB464" i="4"/>
  <c r="AB465" i="4"/>
  <c r="AB466" i="4"/>
  <c r="AB467" i="4"/>
  <c r="AB468" i="4"/>
  <c r="AB469" i="4"/>
  <c r="AB470" i="4"/>
  <c r="AB471" i="4"/>
  <c r="AB472" i="4"/>
  <c r="AB473" i="4"/>
  <c r="AB474" i="4"/>
  <c r="AB475" i="4"/>
  <c r="AB476" i="4"/>
  <c r="AB477" i="4"/>
  <c r="AB478" i="4"/>
  <c r="AB479" i="4"/>
  <c r="AB480" i="4"/>
  <c r="AB481" i="4"/>
  <c r="AB482" i="4"/>
  <c r="AB483" i="4"/>
  <c r="AB484" i="4"/>
  <c r="AB485" i="4"/>
  <c r="AB486" i="4"/>
  <c r="AB487" i="4"/>
  <c r="AB488" i="4"/>
  <c r="AB489" i="4"/>
  <c r="AB490" i="4"/>
  <c r="AB491" i="4"/>
  <c r="AB492" i="4"/>
  <c r="AB493" i="4"/>
  <c r="AB494" i="4"/>
  <c r="AB495" i="4"/>
  <c r="AB496" i="4"/>
  <c r="AB497" i="4"/>
  <c r="AB498" i="4"/>
  <c r="AB499" i="4"/>
  <c r="AB500" i="4"/>
  <c r="AB501" i="4"/>
  <c r="AB502" i="4"/>
  <c r="AB503" i="4"/>
  <c r="AB504" i="4"/>
  <c r="AB505" i="4"/>
  <c r="AB506" i="4"/>
  <c r="AB507" i="4"/>
  <c r="AB508" i="4"/>
  <c r="AB509" i="4"/>
  <c r="AB510" i="4"/>
  <c r="AB511" i="4"/>
  <c r="AB512" i="4"/>
  <c r="AB513" i="4"/>
  <c r="AB514" i="4"/>
  <c r="AB515" i="4"/>
  <c r="AB516" i="4"/>
  <c r="AB517" i="4"/>
  <c r="AB518" i="4"/>
  <c r="AB519" i="4"/>
  <c r="AB520" i="4"/>
  <c r="AB521" i="4"/>
  <c r="AB522" i="4"/>
  <c r="AB523" i="4"/>
  <c r="AB524" i="4"/>
  <c r="AB525" i="4"/>
  <c r="AB526" i="4"/>
  <c r="AB527" i="4"/>
  <c r="AB528" i="4"/>
  <c r="AB529" i="4"/>
  <c r="AB530" i="4"/>
  <c r="AB531" i="4"/>
  <c r="AB532" i="4"/>
  <c r="AB533" i="4"/>
  <c r="AB534" i="4"/>
  <c r="AB535" i="4"/>
  <c r="AB536" i="4"/>
  <c r="AB537" i="4"/>
  <c r="AB538" i="4"/>
  <c r="AB539" i="4"/>
  <c r="AB540" i="4"/>
  <c r="AB541" i="4"/>
  <c r="AB542" i="4"/>
  <c r="AB543" i="4"/>
  <c r="AB544" i="4"/>
  <c r="AB545" i="4"/>
  <c r="AB546" i="4"/>
  <c r="AB547" i="4"/>
  <c r="AB548" i="4"/>
  <c r="AB549" i="4"/>
  <c r="AB550"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AA201" i="4"/>
  <c r="AA202" i="4"/>
  <c r="AA203" i="4"/>
  <c r="AA204" i="4"/>
  <c r="AA205" i="4"/>
  <c r="AA206" i="4"/>
  <c r="AA207" i="4"/>
  <c r="AA208" i="4"/>
  <c r="AA209" i="4"/>
  <c r="AA210" i="4"/>
  <c r="AA211" i="4"/>
  <c r="AA212" i="4"/>
  <c r="AA213" i="4"/>
  <c r="AA214" i="4"/>
  <c r="AA215" i="4"/>
  <c r="AA216" i="4"/>
  <c r="AA217" i="4"/>
  <c r="AA218" i="4"/>
  <c r="AA219" i="4"/>
  <c r="AA220" i="4"/>
  <c r="AA221" i="4"/>
  <c r="AA222" i="4"/>
  <c r="AA223" i="4"/>
  <c r="AA224" i="4"/>
  <c r="AA225" i="4"/>
  <c r="AA226" i="4"/>
  <c r="AA227" i="4"/>
  <c r="AA228" i="4"/>
  <c r="AA229" i="4"/>
  <c r="AA230" i="4"/>
  <c r="AA231" i="4"/>
  <c r="AA232" i="4"/>
  <c r="AA233" i="4"/>
  <c r="AA234" i="4"/>
  <c r="AA235" i="4"/>
  <c r="AA236" i="4"/>
  <c r="AA237" i="4"/>
  <c r="AA238" i="4"/>
  <c r="AA239" i="4"/>
  <c r="AA240" i="4"/>
  <c r="AA241" i="4"/>
  <c r="AA242" i="4"/>
  <c r="AA243" i="4"/>
  <c r="AA244" i="4"/>
  <c r="AA245" i="4"/>
  <c r="AA246" i="4"/>
  <c r="AA247" i="4"/>
  <c r="AA248" i="4"/>
  <c r="AA249" i="4"/>
  <c r="AA250" i="4"/>
  <c r="AA251" i="4"/>
  <c r="AA252" i="4"/>
  <c r="AA253" i="4"/>
  <c r="AA254" i="4"/>
  <c r="AA255" i="4"/>
  <c r="AA256" i="4"/>
  <c r="AA257" i="4"/>
  <c r="AA258" i="4"/>
  <c r="AA259" i="4"/>
  <c r="AA260" i="4"/>
  <c r="AA261" i="4"/>
  <c r="AA262" i="4"/>
  <c r="AA263" i="4"/>
  <c r="AA264" i="4"/>
  <c r="AA265" i="4"/>
  <c r="AA266" i="4"/>
  <c r="AA267" i="4"/>
  <c r="AA268" i="4"/>
  <c r="AA269" i="4"/>
  <c r="AA270" i="4"/>
  <c r="AA271" i="4"/>
  <c r="AA272" i="4"/>
  <c r="AA273" i="4"/>
  <c r="AA274" i="4"/>
  <c r="AA275" i="4"/>
  <c r="AA276" i="4"/>
  <c r="AA277" i="4"/>
  <c r="AA278" i="4"/>
  <c r="AA279" i="4"/>
  <c r="AA280" i="4"/>
  <c r="AA281" i="4"/>
  <c r="AA282" i="4"/>
  <c r="AA283" i="4"/>
  <c r="AA284" i="4"/>
  <c r="AA285" i="4"/>
  <c r="AA286" i="4"/>
  <c r="AA287" i="4"/>
  <c r="AA288" i="4"/>
  <c r="AA289" i="4"/>
  <c r="AA290" i="4"/>
  <c r="AA291" i="4"/>
  <c r="AA292" i="4"/>
  <c r="AA293" i="4"/>
  <c r="AA294" i="4"/>
  <c r="AA295" i="4"/>
  <c r="AA296" i="4"/>
  <c r="AA297" i="4"/>
  <c r="AA298" i="4"/>
  <c r="AA299" i="4"/>
  <c r="AA300" i="4"/>
  <c r="AA301" i="4"/>
  <c r="AA302" i="4"/>
  <c r="AA303" i="4"/>
  <c r="AA304" i="4"/>
  <c r="AA305" i="4"/>
  <c r="AA306" i="4"/>
  <c r="AA307" i="4"/>
  <c r="AA308" i="4"/>
  <c r="AA309" i="4"/>
  <c r="AA310" i="4"/>
  <c r="AA311" i="4"/>
  <c r="AA312" i="4"/>
  <c r="AA313" i="4"/>
  <c r="AA314" i="4"/>
  <c r="AA315" i="4"/>
  <c r="AA316" i="4"/>
  <c r="AA317" i="4"/>
  <c r="AA318" i="4"/>
  <c r="AA319" i="4"/>
  <c r="AA320" i="4"/>
  <c r="AA321" i="4"/>
  <c r="AA322" i="4"/>
  <c r="AA323" i="4"/>
  <c r="AA324" i="4"/>
  <c r="AA325" i="4"/>
  <c r="AA326" i="4"/>
  <c r="AA327" i="4"/>
  <c r="AA328" i="4"/>
  <c r="AA329" i="4"/>
  <c r="AA330" i="4"/>
  <c r="AA331" i="4"/>
  <c r="AA332" i="4"/>
  <c r="AA333" i="4"/>
  <c r="AA334" i="4"/>
  <c r="AA335" i="4"/>
  <c r="AA336" i="4"/>
  <c r="AA337" i="4"/>
  <c r="AA338" i="4"/>
  <c r="AA339" i="4"/>
  <c r="AA340" i="4"/>
  <c r="AA341" i="4"/>
  <c r="AA342" i="4"/>
  <c r="AA343" i="4"/>
  <c r="AA344" i="4"/>
  <c r="AA345" i="4"/>
  <c r="AA346" i="4"/>
  <c r="AA347" i="4"/>
  <c r="AA348" i="4"/>
  <c r="AA349" i="4"/>
  <c r="AA350" i="4"/>
  <c r="AA351" i="4"/>
  <c r="AA352" i="4"/>
  <c r="AA353" i="4"/>
  <c r="AA354" i="4"/>
  <c r="AA355" i="4"/>
  <c r="AA356" i="4"/>
  <c r="AA357" i="4"/>
  <c r="AA358" i="4"/>
  <c r="AA359" i="4"/>
  <c r="AA360" i="4"/>
  <c r="AA361" i="4"/>
  <c r="AA362" i="4"/>
  <c r="AA363" i="4"/>
  <c r="AA364" i="4"/>
  <c r="AA365" i="4"/>
  <c r="AA366" i="4"/>
  <c r="AA367" i="4"/>
  <c r="AA368" i="4"/>
  <c r="AA369" i="4"/>
  <c r="AA370" i="4"/>
  <c r="AA371" i="4"/>
  <c r="AA372" i="4"/>
  <c r="AA373" i="4"/>
  <c r="AA374" i="4"/>
  <c r="AA375" i="4"/>
  <c r="AA376" i="4"/>
  <c r="AA377" i="4"/>
  <c r="AA378" i="4"/>
  <c r="AA379" i="4"/>
  <c r="AA380" i="4"/>
  <c r="AA381" i="4"/>
  <c r="AA382" i="4"/>
  <c r="AA383" i="4"/>
  <c r="AA384" i="4"/>
  <c r="AA385" i="4"/>
  <c r="AA386" i="4"/>
  <c r="AA387" i="4"/>
  <c r="AA388" i="4"/>
  <c r="AA389" i="4"/>
  <c r="AA390" i="4"/>
  <c r="AA391" i="4"/>
  <c r="AA392" i="4"/>
  <c r="AA393" i="4"/>
  <c r="AA394" i="4"/>
  <c r="AA395" i="4"/>
  <c r="AA396" i="4"/>
  <c r="AA397" i="4"/>
  <c r="AA398" i="4"/>
  <c r="AA399" i="4"/>
  <c r="AA400" i="4"/>
  <c r="AA401" i="4"/>
  <c r="AA402" i="4"/>
  <c r="AA403" i="4"/>
  <c r="AA404" i="4"/>
  <c r="AA405" i="4"/>
  <c r="AA406" i="4"/>
  <c r="AA407" i="4"/>
  <c r="AA408" i="4"/>
  <c r="AA409" i="4"/>
  <c r="AA410" i="4"/>
  <c r="AA411" i="4"/>
  <c r="AA412" i="4"/>
  <c r="AA413" i="4"/>
  <c r="AA414" i="4"/>
  <c r="AA415" i="4"/>
  <c r="AA416" i="4"/>
  <c r="AA417" i="4"/>
  <c r="AA418" i="4"/>
  <c r="AA419" i="4"/>
  <c r="AA420" i="4"/>
  <c r="AA421" i="4"/>
  <c r="AA422" i="4"/>
  <c r="AA423" i="4"/>
  <c r="AA424" i="4"/>
  <c r="AA425" i="4"/>
  <c r="AA426" i="4"/>
  <c r="AA427" i="4"/>
  <c r="AA428" i="4"/>
  <c r="AA429" i="4"/>
  <c r="AA430" i="4"/>
  <c r="AA431" i="4"/>
  <c r="AA432" i="4"/>
  <c r="AA433" i="4"/>
  <c r="AA434" i="4"/>
  <c r="AA435" i="4"/>
  <c r="AA436" i="4"/>
  <c r="AA437" i="4"/>
  <c r="AA438" i="4"/>
  <c r="AA439" i="4"/>
  <c r="AA440" i="4"/>
  <c r="AA441" i="4"/>
  <c r="AA442" i="4"/>
  <c r="AA443" i="4"/>
  <c r="AA444" i="4"/>
  <c r="AA445" i="4"/>
  <c r="AA446" i="4"/>
  <c r="AA447" i="4"/>
  <c r="AA448" i="4"/>
  <c r="AA449" i="4"/>
  <c r="AA450" i="4"/>
  <c r="AA451" i="4"/>
  <c r="AA452" i="4"/>
  <c r="AA453" i="4"/>
  <c r="AA454" i="4"/>
  <c r="AA455" i="4"/>
  <c r="AA456" i="4"/>
  <c r="AA457" i="4"/>
  <c r="AA458" i="4"/>
  <c r="AA459" i="4"/>
  <c r="AA460" i="4"/>
  <c r="AA461" i="4"/>
  <c r="AA462" i="4"/>
  <c r="AA463" i="4"/>
  <c r="AA464" i="4"/>
  <c r="AA465" i="4"/>
  <c r="AA466" i="4"/>
  <c r="AA467" i="4"/>
  <c r="AA468" i="4"/>
  <c r="AA469" i="4"/>
  <c r="AA470" i="4"/>
  <c r="AA471" i="4"/>
  <c r="AA472" i="4"/>
  <c r="AA473" i="4"/>
  <c r="AA474" i="4"/>
  <c r="AA475" i="4"/>
  <c r="AA476" i="4"/>
  <c r="AA477" i="4"/>
  <c r="AA478" i="4"/>
  <c r="AA479" i="4"/>
  <c r="AA480" i="4"/>
  <c r="AA481" i="4"/>
  <c r="AA482" i="4"/>
  <c r="AA483" i="4"/>
  <c r="AA484" i="4"/>
  <c r="AA485" i="4"/>
  <c r="AA486" i="4"/>
  <c r="AA487" i="4"/>
  <c r="AA488" i="4"/>
  <c r="AA489" i="4"/>
  <c r="AA490" i="4"/>
  <c r="AA491" i="4"/>
  <c r="AA492" i="4"/>
  <c r="AA493" i="4"/>
  <c r="AA494" i="4"/>
  <c r="AA495" i="4"/>
  <c r="AA496" i="4"/>
  <c r="AA497" i="4"/>
  <c r="AA498" i="4"/>
  <c r="AA499" i="4"/>
  <c r="AA500" i="4"/>
  <c r="AA501" i="4"/>
  <c r="AA502" i="4"/>
  <c r="AA503" i="4"/>
  <c r="AA504" i="4"/>
  <c r="AA505" i="4"/>
  <c r="AA506" i="4"/>
  <c r="AA507" i="4"/>
  <c r="AA508" i="4"/>
  <c r="AA509" i="4"/>
  <c r="AA510" i="4"/>
  <c r="AA511" i="4"/>
  <c r="AA512" i="4"/>
  <c r="AA513" i="4"/>
  <c r="AA514" i="4"/>
  <c r="AA515" i="4"/>
  <c r="AA516" i="4"/>
  <c r="AA517" i="4"/>
  <c r="AA518" i="4"/>
  <c r="AA519" i="4"/>
  <c r="AA520" i="4"/>
  <c r="AA521" i="4"/>
  <c r="AA522" i="4"/>
  <c r="AA523" i="4"/>
  <c r="AA524" i="4"/>
  <c r="AA525" i="4"/>
  <c r="AA526" i="4"/>
  <c r="AA527" i="4"/>
  <c r="AA528" i="4"/>
  <c r="AA529" i="4"/>
  <c r="AA530" i="4"/>
  <c r="AA531" i="4"/>
  <c r="AA532" i="4"/>
  <c r="AA533" i="4"/>
  <c r="AA534" i="4"/>
  <c r="AA535" i="4"/>
  <c r="AA536" i="4"/>
  <c r="AA537" i="4"/>
  <c r="AA538" i="4"/>
  <c r="AA539" i="4"/>
  <c r="AA540" i="4"/>
  <c r="AA541" i="4"/>
  <c r="AA542" i="4"/>
  <c r="AA543" i="4"/>
  <c r="AA544" i="4"/>
  <c r="AA545" i="4"/>
  <c r="AA546" i="4"/>
  <c r="AA547" i="4"/>
  <c r="AA548" i="4"/>
  <c r="AA549" i="4"/>
  <c r="AA550" i="4"/>
  <c r="AA4" i="4"/>
  <c r="B18" i="26" l="1"/>
  <c r="C17" i="26"/>
  <c r="G17" i="26" s="1"/>
  <c r="Z4" i="4"/>
  <c r="AF4" i="4" l="1"/>
  <c r="C18" i="26"/>
  <c r="G18" i="26" s="1"/>
  <c r="B19" i="26"/>
  <c r="AQ6" i="4"/>
  <c r="AF12" i="4"/>
  <c r="AF13" i="4"/>
  <c r="AF14"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AF201" i="4"/>
  <c r="AF202" i="4"/>
  <c r="AF203" i="4"/>
  <c r="AF204" i="4"/>
  <c r="AF205" i="4"/>
  <c r="AF206" i="4"/>
  <c r="AF207" i="4"/>
  <c r="AF208" i="4"/>
  <c r="AF209" i="4"/>
  <c r="AF210" i="4"/>
  <c r="AF211" i="4"/>
  <c r="AF212" i="4"/>
  <c r="AF213" i="4"/>
  <c r="AF214" i="4"/>
  <c r="AF215" i="4"/>
  <c r="AF216" i="4"/>
  <c r="AF217" i="4"/>
  <c r="AF218" i="4"/>
  <c r="AF219" i="4"/>
  <c r="AF220" i="4"/>
  <c r="AF221" i="4"/>
  <c r="AF222" i="4"/>
  <c r="AF223" i="4"/>
  <c r="AF224" i="4"/>
  <c r="AF225" i="4"/>
  <c r="AF226" i="4"/>
  <c r="AF227" i="4"/>
  <c r="AF228" i="4"/>
  <c r="AF229" i="4"/>
  <c r="AF230" i="4"/>
  <c r="AF231" i="4"/>
  <c r="AF232" i="4"/>
  <c r="AF233" i="4"/>
  <c r="AF234" i="4"/>
  <c r="AF235" i="4"/>
  <c r="AF236" i="4"/>
  <c r="AF237" i="4"/>
  <c r="AF238" i="4"/>
  <c r="AF239" i="4"/>
  <c r="AF240" i="4"/>
  <c r="AF241" i="4"/>
  <c r="AF242" i="4"/>
  <c r="AF243" i="4"/>
  <c r="AF244" i="4"/>
  <c r="AF245" i="4"/>
  <c r="AF246" i="4"/>
  <c r="AF247" i="4"/>
  <c r="AF248" i="4"/>
  <c r="AF249" i="4"/>
  <c r="AF250" i="4"/>
  <c r="AF251" i="4"/>
  <c r="AF252" i="4"/>
  <c r="AF253" i="4"/>
  <c r="AF254" i="4"/>
  <c r="AF255" i="4"/>
  <c r="AF256" i="4"/>
  <c r="AF257" i="4"/>
  <c r="AF258" i="4"/>
  <c r="AF259" i="4"/>
  <c r="AF260" i="4"/>
  <c r="AF261" i="4"/>
  <c r="AF262" i="4"/>
  <c r="AF263" i="4"/>
  <c r="AF264" i="4"/>
  <c r="AF265" i="4"/>
  <c r="AF266" i="4"/>
  <c r="AF267" i="4"/>
  <c r="AF268" i="4"/>
  <c r="AF269" i="4"/>
  <c r="AF270" i="4"/>
  <c r="AF271" i="4"/>
  <c r="AF272" i="4"/>
  <c r="AF273" i="4"/>
  <c r="AF274" i="4"/>
  <c r="AF275" i="4"/>
  <c r="AF276" i="4"/>
  <c r="AF277" i="4"/>
  <c r="AF278" i="4"/>
  <c r="AF279" i="4"/>
  <c r="AF280" i="4"/>
  <c r="AF281" i="4"/>
  <c r="AF282" i="4"/>
  <c r="AF283" i="4"/>
  <c r="AF284" i="4"/>
  <c r="AF285" i="4"/>
  <c r="AF286" i="4"/>
  <c r="AF287" i="4"/>
  <c r="AF288" i="4"/>
  <c r="AF289" i="4"/>
  <c r="AF290" i="4"/>
  <c r="AF291" i="4"/>
  <c r="AF292" i="4"/>
  <c r="AF293" i="4"/>
  <c r="AF294" i="4"/>
  <c r="AF295" i="4"/>
  <c r="AF296" i="4"/>
  <c r="AF297" i="4"/>
  <c r="AF298" i="4"/>
  <c r="AF299" i="4"/>
  <c r="AF300" i="4"/>
  <c r="AF301" i="4"/>
  <c r="AF302" i="4"/>
  <c r="AF303" i="4"/>
  <c r="AF304" i="4"/>
  <c r="AF305" i="4"/>
  <c r="AF306" i="4"/>
  <c r="AF307" i="4"/>
  <c r="AF308" i="4"/>
  <c r="AF309" i="4"/>
  <c r="AF310" i="4"/>
  <c r="AF311" i="4"/>
  <c r="AF312" i="4"/>
  <c r="AF313" i="4"/>
  <c r="AF314" i="4"/>
  <c r="AF315" i="4"/>
  <c r="AF316" i="4"/>
  <c r="AF317" i="4"/>
  <c r="AF318" i="4"/>
  <c r="AF319" i="4"/>
  <c r="AF320" i="4"/>
  <c r="AF321" i="4"/>
  <c r="AF322" i="4"/>
  <c r="AF323" i="4"/>
  <c r="AF324" i="4"/>
  <c r="AF325" i="4"/>
  <c r="AF326" i="4"/>
  <c r="AF327" i="4"/>
  <c r="AF328" i="4"/>
  <c r="AF329" i="4"/>
  <c r="AF330" i="4"/>
  <c r="AF331" i="4"/>
  <c r="AF332" i="4"/>
  <c r="AF333" i="4"/>
  <c r="AF334" i="4"/>
  <c r="AF335" i="4"/>
  <c r="AF336" i="4"/>
  <c r="AF337" i="4"/>
  <c r="AF338" i="4"/>
  <c r="AF339" i="4"/>
  <c r="AF340" i="4"/>
  <c r="AF341" i="4"/>
  <c r="AF342" i="4"/>
  <c r="AF343" i="4"/>
  <c r="AF344" i="4"/>
  <c r="AF345" i="4"/>
  <c r="AF346" i="4"/>
  <c r="AF347" i="4"/>
  <c r="AF348" i="4"/>
  <c r="AF349" i="4"/>
  <c r="AF350" i="4"/>
  <c r="AF351" i="4"/>
  <c r="AF352" i="4"/>
  <c r="AF353" i="4"/>
  <c r="AF354" i="4"/>
  <c r="AF355" i="4"/>
  <c r="AF356" i="4"/>
  <c r="AF357" i="4"/>
  <c r="AF358" i="4"/>
  <c r="AF359" i="4"/>
  <c r="AF360" i="4"/>
  <c r="AF361" i="4"/>
  <c r="AF362" i="4"/>
  <c r="AF363" i="4"/>
  <c r="AF364" i="4"/>
  <c r="AF365" i="4"/>
  <c r="AF366" i="4"/>
  <c r="AF367" i="4"/>
  <c r="AF368" i="4"/>
  <c r="AF369" i="4"/>
  <c r="AF370" i="4"/>
  <c r="AF371" i="4"/>
  <c r="AF372" i="4"/>
  <c r="AF373" i="4"/>
  <c r="AF374" i="4"/>
  <c r="AF375" i="4"/>
  <c r="AF376" i="4"/>
  <c r="AF377" i="4"/>
  <c r="AF378" i="4"/>
  <c r="AF379" i="4"/>
  <c r="AF380" i="4"/>
  <c r="AF381" i="4"/>
  <c r="AF382" i="4"/>
  <c r="AF383" i="4"/>
  <c r="AF384" i="4"/>
  <c r="AF385" i="4"/>
  <c r="AF386" i="4"/>
  <c r="AF387" i="4"/>
  <c r="AF388" i="4"/>
  <c r="AF389" i="4"/>
  <c r="AF390" i="4"/>
  <c r="AF391" i="4"/>
  <c r="AF392" i="4"/>
  <c r="AF393" i="4"/>
  <c r="AF394" i="4"/>
  <c r="AF395" i="4"/>
  <c r="AF396" i="4"/>
  <c r="AF397" i="4"/>
  <c r="AF398" i="4"/>
  <c r="AF399" i="4"/>
  <c r="AF400" i="4"/>
  <c r="AF401" i="4"/>
  <c r="AF402" i="4"/>
  <c r="AF403" i="4"/>
  <c r="AF404" i="4"/>
  <c r="AF405" i="4"/>
  <c r="AF406" i="4"/>
  <c r="AF407" i="4"/>
  <c r="AF408" i="4"/>
  <c r="AF409" i="4"/>
  <c r="AF410" i="4"/>
  <c r="AF411" i="4"/>
  <c r="AF412" i="4"/>
  <c r="AF413" i="4"/>
  <c r="AF414" i="4"/>
  <c r="AF415" i="4"/>
  <c r="AF416" i="4"/>
  <c r="AF417" i="4"/>
  <c r="AF418" i="4"/>
  <c r="AF419" i="4"/>
  <c r="AF420" i="4"/>
  <c r="AF421" i="4"/>
  <c r="AF422" i="4"/>
  <c r="AF423" i="4"/>
  <c r="AF424" i="4"/>
  <c r="AF425" i="4"/>
  <c r="AF426" i="4"/>
  <c r="AF427" i="4"/>
  <c r="AF428" i="4"/>
  <c r="AF429" i="4"/>
  <c r="AF430" i="4"/>
  <c r="AF431" i="4"/>
  <c r="AF432" i="4"/>
  <c r="AF433" i="4"/>
  <c r="AF434" i="4"/>
  <c r="AF435" i="4"/>
  <c r="AF436" i="4"/>
  <c r="AF437" i="4"/>
  <c r="AF438" i="4"/>
  <c r="AF439" i="4"/>
  <c r="AF440" i="4"/>
  <c r="AF441" i="4"/>
  <c r="AF442" i="4"/>
  <c r="AF443" i="4"/>
  <c r="AF444" i="4"/>
  <c r="AF445" i="4"/>
  <c r="AF446" i="4"/>
  <c r="AF447" i="4"/>
  <c r="AF448" i="4"/>
  <c r="AF449" i="4"/>
  <c r="AF450" i="4"/>
  <c r="AF451" i="4"/>
  <c r="AF452" i="4"/>
  <c r="AF453" i="4"/>
  <c r="AF454" i="4"/>
  <c r="AF455" i="4"/>
  <c r="AF456" i="4"/>
  <c r="AF457" i="4"/>
  <c r="AF458" i="4"/>
  <c r="AF459" i="4"/>
  <c r="AF460" i="4"/>
  <c r="AF461" i="4"/>
  <c r="AF462" i="4"/>
  <c r="AF463" i="4"/>
  <c r="AF464" i="4"/>
  <c r="AF465" i="4"/>
  <c r="AF466" i="4"/>
  <c r="AF467" i="4"/>
  <c r="AF468" i="4"/>
  <c r="AF469" i="4"/>
  <c r="AF470" i="4"/>
  <c r="AF471" i="4"/>
  <c r="AF472" i="4"/>
  <c r="AF473" i="4"/>
  <c r="AF474" i="4"/>
  <c r="AF475" i="4"/>
  <c r="AF476" i="4"/>
  <c r="AF477" i="4"/>
  <c r="AF478" i="4"/>
  <c r="AF479" i="4"/>
  <c r="AF480" i="4"/>
  <c r="AF481" i="4"/>
  <c r="AF482" i="4"/>
  <c r="AF483" i="4"/>
  <c r="AF484" i="4"/>
  <c r="AF485" i="4"/>
  <c r="AF486" i="4"/>
  <c r="AF487" i="4"/>
  <c r="AF488" i="4"/>
  <c r="AF489" i="4"/>
  <c r="AF490" i="4"/>
  <c r="AF491" i="4"/>
  <c r="AF492" i="4"/>
  <c r="AF493" i="4"/>
  <c r="AF494" i="4"/>
  <c r="AF495" i="4"/>
  <c r="AF496" i="4"/>
  <c r="AF497" i="4"/>
  <c r="AF498" i="4"/>
  <c r="AF499" i="4"/>
  <c r="AF500" i="4"/>
  <c r="AF501" i="4"/>
  <c r="AF502" i="4"/>
  <c r="AF503" i="4"/>
  <c r="AF504" i="4"/>
  <c r="AF505" i="4"/>
  <c r="AF506" i="4"/>
  <c r="AF507" i="4"/>
  <c r="AF508" i="4"/>
  <c r="AF509" i="4"/>
  <c r="AF510" i="4"/>
  <c r="AF511" i="4"/>
  <c r="AF512" i="4"/>
  <c r="AF513" i="4"/>
  <c r="AF514" i="4"/>
  <c r="AF515" i="4"/>
  <c r="AF516" i="4"/>
  <c r="AF517" i="4"/>
  <c r="AF518" i="4"/>
  <c r="AF519" i="4"/>
  <c r="AF520" i="4"/>
  <c r="AF521" i="4"/>
  <c r="AF522" i="4"/>
  <c r="AF523" i="4"/>
  <c r="AF524" i="4"/>
  <c r="AF525" i="4"/>
  <c r="AF526" i="4"/>
  <c r="AF527" i="4"/>
  <c r="AF528" i="4"/>
  <c r="AF529" i="4"/>
  <c r="AF530" i="4"/>
  <c r="AF531" i="4"/>
  <c r="AF532" i="4"/>
  <c r="AF533" i="4"/>
  <c r="AF534" i="4"/>
  <c r="AF535" i="4"/>
  <c r="AF536" i="4"/>
  <c r="AF537" i="4"/>
  <c r="AF538" i="4"/>
  <c r="AF539" i="4"/>
  <c r="AF540" i="4"/>
  <c r="AF541" i="4"/>
  <c r="AF542" i="4"/>
  <c r="AF543" i="4"/>
  <c r="AF544" i="4"/>
  <c r="AF545" i="4"/>
  <c r="AF546" i="4"/>
  <c r="AF547" i="4"/>
  <c r="AF548" i="4"/>
  <c r="AF549" i="4"/>
  <c r="AF550" i="4"/>
  <c r="B20" i="26" l="1"/>
  <c r="C19" i="26"/>
  <c r="G19" i="26" s="1"/>
  <c r="Z6" i="4"/>
  <c r="B21" i="26" l="1"/>
  <c r="C20" i="26"/>
  <c r="G20" i="26" s="1"/>
  <c r="AF6" i="4"/>
  <c r="AO6" i="4" s="1"/>
  <c r="Z15" i="8"/>
  <c r="AA19" i="8" s="1"/>
  <c r="Y15" i="8"/>
  <c r="Z19" i="8" s="1"/>
  <c r="Z20" i="8" s="1"/>
  <c r="C21" i="26" l="1"/>
  <c r="G21" i="26" s="1"/>
  <c r="B22" i="26"/>
  <c r="AG19" i="8"/>
  <c r="AG20" i="8" s="1"/>
  <c r="AH20" i="8" s="1"/>
  <c r="AF19" i="8"/>
  <c r="AF20" i="8" s="1"/>
  <c r="AF21" i="8" s="1"/>
  <c r="AB19" i="8"/>
  <c r="AA20" i="8"/>
  <c r="AA21" i="8" s="1"/>
  <c r="AA22" i="8" s="1"/>
  <c r="AA23" i="8" s="1"/>
  <c r="Z21" i="8"/>
  <c r="Z22" i="8" s="1"/>
  <c r="Z23" i="8" s="1"/>
  <c r="C22" i="26" l="1"/>
  <c r="G22" i="26" s="1"/>
  <c r="B23" i="26"/>
  <c r="AH19" i="8"/>
  <c r="AA24" i="8"/>
  <c r="AA25" i="8" s="1"/>
  <c r="AA26" i="8" s="1"/>
  <c r="AA27" i="8" s="1"/>
  <c r="AA28" i="8" s="1"/>
  <c r="AA29" i="8" s="1"/>
  <c r="AA30" i="8" s="1"/>
  <c r="AA31" i="8" s="1"/>
  <c r="AA32" i="8" s="1"/>
  <c r="AA33" i="8" s="1"/>
  <c r="AA34" i="8" s="1"/>
  <c r="AA35" i="8" s="1"/>
  <c r="AA36" i="8" s="1"/>
  <c r="AA37" i="8" s="1"/>
  <c r="AA38" i="8" s="1"/>
  <c r="AA39" i="8" s="1"/>
  <c r="AA40" i="8" s="1"/>
  <c r="AA41" i="8" s="1"/>
  <c r="AA42" i="8" s="1"/>
  <c r="AA43" i="8" s="1"/>
  <c r="AA44" i="8" s="1"/>
  <c r="AA45" i="8" s="1"/>
  <c r="AA46" i="8" s="1"/>
  <c r="AA47" i="8" s="1"/>
  <c r="AA48" i="8" s="1"/>
  <c r="AG21" i="8"/>
  <c r="AH21" i="8" s="1"/>
  <c r="Z24" i="8"/>
  <c r="AF22" i="8"/>
  <c r="AB20" i="8"/>
  <c r="AB21" i="8"/>
  <c r="AB22" i="8"/>
  <c r="B24" i="26" l="1"/>
  <c r="C23" i="26"/>
  <c r="G23" i="26" s="1"/>
  <c r="AB48" i="8"/>
  <c r="AA49" i="8"/>
  <c r="Z25" i="8"/>
  <c r="Z26" i="8" s="1"/>
  <c r="AG22" i="8"/>
  <c r="AF23" i="8"/>
  <c r="AF24" i="8" s="1"/>
  <c r="AF25" i="8" s="1"/>
  <c r="AF26" i="8" s="1"/>
  <c r="AF27" i="8" s="1"/>
  <c r="AB23" i="8"/>
  <c r="C24" i="26" l="1"/>
  <c r="G24" i="26" s="1"/>
  <c r="B25" i="26"/>
  <c r="Z27" i="8"/>
  <c r="Z28" i="8" s="1"/>
  <c r="Z29" i="8" s="1"/>
  <c r="Z30" i="8" s="1"/>
  <c r="Z31" i="8" s="1"/>
  <c r="Z32" i="8" s="1"/>
  <c r="Z33" i="8" s="1"/>
  <c r="Z34" i="8" s="1"/>
  <c r="Z35" i="8" s="1"/>
  <c r="Z36" i="8" s="1"/>
  <c r="Z37" i="8" s="1"/>
  <c r="Z38" i="8" s="1"/>
  <c r="Z39" i="8" s="1"/>
  <c r="Z40" i="8" s="1"/>
  <c r="Z41" i="8" s="1"/>
  <c r="Z42" i="8" s="1"/>
  <c r="Z43" i="8" s="1"/>
  <c r="Z44" i="8" s="1"/>
  <c r="Z45" i="8" s="1"/>
  <c r="Z46" i="8" s="1"/>
  <c r="Z47" i="8" s="1"/>
  <c r="Z48" i="8" s="1"/>
  <c r="Z49" i="8" s="1"/>
  <c r="Z50" i="8" s="1"/>
  <c r="Z51" i="8" s="1"/>
  <c r="Z52" i="8" s="1"/>
  <c r="Z53" i="8" s="1"/>
  <c r="Z54" i="8" s="1"/>
  <c r="Z55" i="8" s="1"/>
  <c r="Z56" i="8" s="1"/>
  <c r="Z57" i="8" s="1"/>
  <c r="Z58" i="8" s="1"/>
  <c r="Z59" i="8" s="1"/>
  <c r="Z60" i="8" s="1"/>
  <c r="Z61" i="8" s="1"/>
  <c r="Z62" i="8" s="1"/>
  <c r="Z63" i="8" s="1"/>
  <c r="Z64" i="8" s="1"/>
  <c r="Z65" i="8" s="1"/>
  <c r="AB49" i="8"/>
  <c r="AA50" i="8"/>
  <c r="AG23" i="8"/>
  <c r="AG24" i="8" s="1"/>
  <c r="AH22" i="8"/>
  <c r="AB24" i="8"/>
  <c r="C25" i="26" l="1"/>
  <c r="G25" i="26" s="1"/>
  <c r="B26" i="26"/>
  <c r="AB50" i="8"/>
  <c r="AA51" i="8"/>
  <c r="AH23" i="8"/>
  <c r="AG25" i="8"/>
  <c r="AG26" i="8" s="1"/>
  <c r="AG27" i="8" s="1"/>
  <c r="AG28" i="8" s="1"/>
  <c r="AG29" i="8" s="1"/>
  <c r="AG30" i="8" s="1"/>
  <c r="AG31" i="8" s="1"/>
  <c r="AG32" i="8" s="1"/>
  <c r="AG33" i="8" s="1"/>
  <c r="AG34" i="8" s="1"/>
  <c r="AG35" i="8" s="1"/>
  <c r="AG36" i="8" s="1"/>
  <c r="AG37" i="8" s="1"/>
  <c r="AG38" i="8" s="1"/>
  <c r="AG39" i="8" s="1"/>
  <c r="AG40" i="8" s="1"/>
  <c r="AG41" i="8" s="1"/>
  <c r="AG42" i="8" s="1"/>
  <c r="AG43" i="8" s="1"/>
  <c r="AG44" i="8" s="1"/>
  <c r="AG45" i="8" s="1"/>
  <c r="AG46" i="8" s="1"/>
  <c r="AG47" i="8" s="1"/>
  <c r="AG48" i="8" s="1"/>
  <c r="AG49" i="8" s="1"/>
  <c r="AH24" i="8"/>
  <c r="AB25" i="8"/>
  <c r="B27" i="26" l="1"/>
  <c r="C26" i="26"/>
  <c r="G26" i="26" s="1"/>
  <c r="AA52" i="8"/>
  <c r="AB51" i="8"/>
  <c r="AG50" i="8"/>
  <c r="AH49" i="8"/>
  <c r="AF28" i="8"/>
  <c r="AF29" i="8" s="1"/>
  <c r="AF30" i="8" s="1"/>
  <c r="AF31" i="8" s="1"/>
  <c r="AF32" i="8" s="1"/>
  <c r="AF33" i="8" s="1"/>
  <c r="AF34" i="8" s="1"/>
  <c r="AF35" i="8" s="1"/>
  <c r="AF36" i="8" s="1"/>
  <c r="AF37" i="8" s="1"/>
  <c r="AF38" i="8" s="1"/>
  <c r="AF39" i="8" s="1"/>
  <c r="AF40" i="8" s="1"/>
  <c r="AF41" i="8" s="1"/>
  <c r="AF42" i="8" s="1"/>
  <c r="AF43" i="8" s="1"/>
  <c r="AF44" i="8" s="1"/>
  <c r="AF45" i="8" s="1"/>
  <c r="AF46" i="8" s="1"/>
  <c r="AF47" i="8" s="1"/>
  <c r="AF48" i="8" s="1"/>
  <c r="AF49" i="8" s="1"/>
  <c r="AF50" i="8" s="1"/>
  <c r="AF51" i="8" s="1"/>
  <c r="AF52" i="8" s="1"/>
  <c r="AF53" i="8" s="1"/>
  <c r="AF54" i="8" s="1"/>
  <c r="AF55" i="8" s="1"/>
  <c r="AF56" i="8" s="1"/>
  <c r="AF57" i="8" s="1"/>
  <c r="AF58" i="8" s="1"/>
  <c r="AF59" i="8" s="1"/>
  <c r="AF60" i="8" s="1"/>
  <c r="AF61" i="8" s="1"/>
  <c r="AF62" i="8" s="1"/>
  <c r="AF63" i="8" s="1"/>
  <c r="AF64" i="8" s="1"/>
  <c r="AF65" i="8" s="1"/>
  <c r="AH25" i="8"/>
  <c r="AB26" i="8"/>
  <c r="AO225" i="4"/>
  <c r="Z225" i="4"/>
  <c r="AQ225" i="4"/>
  <c r="AO226" i="4"/>
  <c r="AQ226" i="4"/>
  <c r="AO227" i="4"/>
  <c r="Z227" i="4"/>
  <c r="AQ227" i="4"/>
  <c r="AO228" i="4"/>
  <c r="Z228" i="4"/>
  <c r="AQ228" i="4"/>
  <c r="AO229" i="4"/>
  <c r="AQ229" i="4"/>
  <c r="AO230" i="4"/>
  <c r="Z230" i="4"/>
  <c r="AQ230" i="4"/>
  <c r="AO231" i="4"/>
  <c r="Z231" i="4"/>
  <c r="AQ231" i="4"/>
  <c r="AO232" i="4"/>
  <c r="AQ232" i="4"/>
  <c r="AO233" i="4"/>
  <c r="Z233" i="4"/>
  <c r="AQ233" i="4"/>
  <c r="AO234" i="4"/>
  <c r="AQ234" i="4"/>
  <c r="AO235" i="4"/>
  <c r="AQ235" i="4"/>
  <c r="AO236" i="4"/>
  <c r="AQ236" i="4"/>
  <c r="AO237" i="4"/>
  <c r="Z237" i="4"/>
  <c r="AQ237" i="4"/>
  <c r="AO238" i="4"/>
  <c r="AQ238" i="4"/>
  <c r="AO239" i="4"/>
  <c r="Z239" i="4"/>
  <c r="AQ239" i="4"/>
  <c r="AO240" i="4"/>
  <c r="Z240" i="4"/>
  <c r="AQ240" i="4"/>
  <c r="AO241" i="4"/>
  <c r="Z241" i="4"/>
  <c r="AQ241" i="4"/>
  <c r="AO242" i="4"/>
  <c r="AQ242" i="4"/>
  <c r="AO243" i="4"/>
  <c r="Z243" i="4"/>
  <c r="AQ243" i="4"/>
  <c r="AO244" i="4"/>
  <c r="Z244" i="4"/>
  <c r="AQ244" i="4"/>
  <c r="AO245" i="4"/>
  <c r="AQ245" i="4"/>
  <c r="AO246" i="4"/>
  <c r="Z246" i="4"/>
  <c r="AQ246" i="4"/>
  <c r="AO247" i="4"/>
  <c r="AQ247" i="4"/>
  <c r="AO248" i="4"/>
  <c r="Z248" i="4"/>
  <c r="AQ248" i="4"/>
  <c r="AO249" i="4"/>
  <c r="AQ249" i="4"/>
  <c r="AO250" i="4"/>
  <c r="Z250" i="4"/>
  <c r="AQ250" i="4"/>
  <c r="AO251" i="4"/>
  <c r="Z251" i="4"/>
  <c r="AQ251" i="4"/>
  <c r="AO252" i="4"/>
  <c r="Z252" i="4"/>
  <c r="AQ252" i="4"/>
  <c r="AO253" i="4"/>
  <c r="Z253" i="4"/>
  <c r="AQ253" i="4"/>
  <c r="AO254" i="4"/>
  <c r="AQ254" i="4"/>
  <c r="AO255" i="4"/>
  <c r="Z255" i="4"/>
  <c r="AQ255" i="4"/>
  <c r="AO256" i="4"/>
  <c r="AQ256" i="4"/>
  <c r="AO257" i="4"/>
  <c r="Z257" i="4"/>
  <c r="AQ257" i="4"/>
  <c r="AO258" i="4"/>
  <c r="Z258" i="4"/>
  <c r="AQ258" i="4"/>
  <c r="AO259" i="4"/>
  <c r="AQ259" i="4"/>
  <c r="AO260" i="4"/>
  <c r="AQ260" i="4"/>
  <c r="AO261" i="4"/>
  <c r="Z261" i="4"/>
  <c r="AQ261" i="4"/>
  <c r="AO262" i="4"/>
  <c r="Z262" i="4"/>
  <c r="AQ262" i="4"/>
  <c r="AO263" i="4"/>
  <c r="AQ263" i="4"/>
  <c r="AO264" i="4"/>
  <c r="Z264" i="4"/>
  <c r="AQ264" i="4"/>
  <c r="AO265" i="4"/>
  <c r="AQ265" i="4"/>
  <c r="AO266" i="4"/>
  <c r="Z266" i="4"/>
  <c r="AQ266" i="4"/>
  <c r="AO267" i="4"/>
  <c r="AQ267" i="4"/>
  <c r="AO268" i="4"/>
  <c r="AQ268" i="4"/>
  <c r="AO269" i="4"/>
  <c r="Z269" i="4"/>
  <c r="AQ269" i="4"/>
  <c r="AO270" i="4"/>
  <c r="AQ270" i="4"/>
  <c r="AO271" i="4"/>
  <c r="Z271" i="4"/>
  <c r="AQ271" i="4"/>
  <c r="AO272" i="4"/>
  <c r="Z272" i="4"/>
  <c r="AQ272" i="4"/>
  <c r="AO273" i="4"/>
  <c r="Z273" i="4"/>
  <c r="AQ273" i="4"/>
  <c r="AO274" i="4"/>
  <c r="AQ274" i="4"/>
  <c r="AO275" i="4"/>
  <c r="Z275" i="4"/>
  <c r="AQ275" i="4"/>
  <c r="AO276" i="4"/>
  <c r="AQ276" i="4"/>
  <c r="AO277" i="4"/>
  <c r="AQ277" i="4"/>
  <c r="AO278" i="4"/>
  <c r="Z278" i="4"/>
  <c r="AQ278" i="4"/>
  <c r="AO279" i="4"/>
  <c r="Z279" i="4"/>
  <c r="AQ279" i="4"/>
  <c r="AO280" i="4"/>
  <c r="Z280" i="4"/>
  <c r="AQ280" i="4"/>
  <c r="AO281" i="4"/>
  <c r="Z281" i="4"/>
  <c r="AQ281" i="4"/>
  <c r="AO282" i="4"/>
  <c r="Z282" i="4"/>
  <c r="AQ282" i="4"/>
  <c r="AO283" i="4"/>
  <c r="AQ283" i="4"/>
  <c r="AO284" i="4"/>
  <c r="AQ284" i="4"/>
  <c r="AO285" i="4"/>
  <c r="AQ285" i="4"/>
  <c r="AO286" i="4"/>
  <c r="Z286" i="4"/>
  <c r="AQ286" i="4"/>
  <c r="AO287" i="4"/>
  <c r="Z287" i="4"/>
  <c r="AQ287" i="4"/>
  <c r="AO288" i="4"/>
  <c r="AQ288" i="4"/>
  <c r="AO289" i="4"/>
  <c r="AQ289" i="4"/>
  <c r="AO290" i="4"/>
  <c r="AQ290" i="4"/>
  <c r="AO291" i="4"/>
  <c r="Z291" i="4"/>
  <c r="AQ291" i="4"/>
  <c r="AO292" i="4"/>
  <c r="Z292" i="4"/>
  <c r="AQ292" i="4"/>
  <c r="AO293" i="4"/>
  <c r="Z293" i="4"/>
  <c r="AQ293" i="4"/>
  <c r="AO294" i="4"/>
  <c r="AQ294" i="4"/>
  <c r="AO295" i="4"/>
  <c r="AQ295" i="4"/>
  <c r="AO296" i="4"/>
  <c r="AQ296" i="4"/>
  <c r="AO297" i="4"/>
  <c r="Z297" i="4"/>
  <c r="AQ297" i="4"/>
  <c r="AO298" i="4"/>
  <c r="AQ298" i="4"/>
  <c r="AO299" i="4"/>
  <c r="Z299" i="4"/>
  <c r="AQ299" i="4"/>
  <c r="AO300" i="4"/>
  <c r="Z300" i="4"/>
  <c r="AQ300" i="4"/>
  <c r="AO301" i="4"/>
  <c r="AQ301" i="4"/>
  <c r="AO302" i="4"/>
  <c r="AQ302" i="4"/>
  <c r="AO303" i="4"/>
  <c r="Z303" i="4"/>
  <c r="AQ303" i="4"/>
  <c r="AO304" i="4"/>
  <c r="AQ304" i="4"/>
  <c r="AO305" i="4"/>
  <c r="AQ305" i="4"/>
  <c r="AO306" i="4"/>
  <c r="AQ306" i="4"/>
  <c r="AO307" i="4"/>
  <c r="AQ307" i="4"/>
  <c r="AO308" i="4"/>
  <c r="AQ308" i="4"/>
  <c r="AO309" i="4"/>
  <c r="Z309" i="4"/>
  <c r="AQ309" i="4"/>
  <c r="AO310" i="4"/>
  <c r="Z310" i="4"/>
  <c r="AQ310" i="4"/>
  <c r="AO311" i="4"/>
  <c r="Z311" i="4"/>
  <c r="AQ311" i="4"/>
  <c r="AO312" i="4"/>
  <c r="AQ312" i="4"/>
  <c r="AO313" i="4"/>
  <c r="AQ313" i="4"/>
  <c r="AO314" i="4"/>
  <c r="Z314" i="4"/>
  <c r="AQ314" i="4"/>
  <c r="AO315" i="4"/>
  <c r="Z315" i="4"/>
  <c r="AQ315" i="4"/>
  <c r="AO316" i="4"/>
  <c r="Z316" i="4"/>
  <c r="AQ316" i="4"/>
  <c r="AO317" i="4"/>
  <c r="Z317" i="4"/>
  <c r="AQ317" i="4"/>
  <c r="AO318" i="4"/>
  <c r="Z318" i="4"/>
  <c r="AQ318" i="4"/>
  <c r="AO319" i="4"/>
  <c r="AQ319" i="4"/>
  <c r="AO320" i="4"/>
  <c r="AQ320" i="4"/>
  <c r="AO321" i="4"/>
  <c r="Z321" i="4"/>
  <c r="AQ321" i="4"/>
  <c r="AO322" i="4"/>
  <c r="AQ322" i="4"/>
  <c r="AO323" i="4"/>
  <c r="AQ323" i="4"/>
  <c r="AO324" i="4"/>
  <c r="AQ324" i="4"/>
  <c r="AO325" i="4"/>
  <c r="AQ325" i="4"/>
  <c r="AO326" i="4"/>
  <c r="AQ326" i="4"/>
  <c r="AO327" i="4"/>
  <c r="Z327" i="4"/>
  <c r="AQ327" i="4"/>
  <c r="AO328" i="4"/>
  <c r="AQ328" i="4"/>
  <c r="AO329" i="4"/>
  <c r="Z329" i="4"/>
  <c r="AQ329" i="4"/>
  <c r="AO330" i="4"/>
  <c r="Z330" i="4"/>
  <c r="AQ330" i="4"/>
  <c r="AO331" i="4"/>
  <c r="AQ331" i="4"/>
  <c r="AO332" i="4"/>
  <c r="Z332" i="4"/>
  <c r="AQ332" i="4"/>
  <c r="AO333" i="4"/>
  <c r="Z333" i="4"/>
  <c r="AQ333" i="4"/>
  <c r="AO334" i="4"/>
  <c r="Z334" i="4"/>
  <c r="AQ334" i="4"/>
  <c r="AO335" i="4"/>
  <c r="Z335" i="4"/>
  <c r="AQ335" i="4"/>
  <c r="AO336" i="4"/>
  <c r="Z336" i="4"/>
  <c r="AQ336" i="4"/>
  <c r="AO337" i="4"/>
  <c r="AQ337" i="4"/>
  <c r="AO338" i="4"/>
  <c r="AQ338" i="4"/>
  <c r="AO339" i="4"/>
  <c r="AQ339" i="4"/>
  <c r="AO340" i="4"/>
  <c r="Z340" i="4"/>
  <c r="AQ340" i="4"/>
  <c r="AO341" i="4"/>
  <c r="AQ341" i="4"/>
  <c r="AO342" i="4"/>
  <c r="Z342" i="4"/>
  <c r="AQ342" i="4"/>
  <c r="AO343" i="4"/>
  <c r="AQ343" i="4"/>
  <c r="AO344" i="4"/>
  <c r="AQ344" i="4"/>
  <c r="AO345" i="4"/>
  <c r="Z345" i="4"/>
  <c r="AQ345" i="4"/>
  <c r="AO346" i="4"/>
  <c r="AQ346" i="4"/>
  <c r="AO347" i="4"/>
  <c r="Z347" i="4"/>
  <c r="AQ347" i="4"/>
  <c r="AO348" i="4"/>
  <c r="Z348" i="4"/>
  <c r="AQ348" i="4"/>
  <c r="AO349" i="4"/>
  <c r="AQ349" i="4"/>
  <c r="AO350" i="4"/>
  <c r="Z350" i="4"/>
  <c r="AQ350" i="4"/>
  <c r="AO351" i="4"/>
  <c r="Z351" i="4"/>
  <c r="AQ351" i="4"/>
  <c r="AO352" i="4"/>
  <c r="Z352" i="4"/>
  <c r="AQ352" i="4"/>
  <c r="AO353" i="4"/>
  <c r="Z353" i="4"/>
  <c r="AQ353" i="4"/>
  <c r="AO354" i="4"/>
  <c r="Z354" i="4"/>
  <c r="AQ354" i="4"/>
  <c r="AO355" i="4"/>
  <c r="AQ355" i="4"/>
  <c r="AO356" i="4"/>
  <c r="AQ356" i="4"/>
  <c r="AO357" i="4"/>
  <c r="AQ357" i="4"/>
  <c r="AO358" i="4"/>
  <c r="AQ358" i="4"/>
  <c r="AO359" i="4"/>
  <c r="AQ359" i="4"/>
  <c r="AO360" i="4"/>
  <c r="Z360" i="4"/>
  <c r="AQ360" i="4"/>
  <c r="AO361" i="4"/>
  <c r="AQ361" i="4"/>
  <c r="AO362" i="4"/>
  <c r="AQ362" i="4"/>
  <c r="AO363" i="4"/>
  <c r="Z363" i="4"/>
  <c r="AQ363" i="4"/>
  <c r="AO364" i="4"/>
  <c r="AQ364" i="4"/>
  <c r="AO365" i="4"/>
  <c r="AQ365" i="4"/>
  <c r="AO366" i="4"/>
  <c r="Z366" i="4"/>
  <c r="AQ366" i="4"/>
  <c r="AO367" i="4"/>
  <c r="AQ367" i="4"/>
  <c r="AO368" i="4"/>
  <c r="Z368" i="4"/>
  <c r="AQ368" i="4"/>
  <c r="AO369" i="4"/>
  <c r="AQ369" i="4"/>
  <c r="AO370" i="4"/>
  <c r="AQ370" i="4"/>
  <c r="AO371" i="4"/>
  <c r="Z371" i="4"/>
  <c r="AQ371" i="4"/>
  <c r="AO372" i="4"/>
  <c r="Z372" i="4"/>
  <c r="AQ372" i="4"/>
  <c r="AO373" i="4"/>
  <c r="AQ373" i="4"/>
  <c r="AO374" i="4"/>
  <c r="Z374" i="4"/>
  <c r="AQ374" i="4"/>
  <c r="AO375" i="4"/>
  <c r="Z375" i="4"/>
  <c r="AQ375" i="4"/>
  <c r="AO376" i="4"/>
  <c r="Z376" i="4"/>
  <c r="AQ376" i="4"/>
  <c r="AO377" i="4"/>
  <c r="Z377" i="4"/>
  <c r="AQ377" i="4"/>
  <c r="AO378" i="4"/>
  <c r="Z378" i="4"/>
  <c r="AQ378" i="4"/>
  <c r="AO379" i="4"/>
  <c r="AQ379" i="4"/>
  <c r="AO380" i="4"/>
  <c r="Z380" i="4"/>
  <c r="AQ380" i="4"/>
  <c r="AO381" i="4"/>
  <c r="Z381" i="4"/>
  <c r="AQ381" i="4"/>
  <c r="AO382" i="4"/>
  <c r="Z382" i="4"/>
  <c r="AQ382" i="4"/>
  <c r="AO383" i="4"/>
  <c r="Z383" i="4"/>
  <c r="AQ383" i="4"/>
  <c r="AO384" i="4"/>
  <c r="Z384" i="4"/>
  <c r="AQ384" i="4"/>
  <c r="AO385" i="4"/>
  <c r="Z385" i="4"/>
  <c r="AQ385" i="4"/>
  <c r="AO386" i="4"/>
  <c r="Z386" i="4"/>
  <c r="AQ386" i="4"/>
  <c r="AO387" i="4"/>
  <c r="AQ387" i="4"/>
  <c r="AO388" i="4"/>
  <c r="Z388" i="4"/>
  <c r="AQ388" i="4"/>
  <c r="AO389" i="4"/>
  <c r="Z389" i="4"/>
  <c r="AQ389" i="4"/>
  <c r="AO390" i="4"/>
  <c r="Z390" i="4"/>
  <c r="AQ390" i="4"/>
  <c r="AO391" i="4"/>
  <c r="AQ391" i="4"/>
  <c r="AO392" i="4"/>
  <c r="AQ392" i="4"/>
  <c r="AO393" i="4"/>
  <c r="Z393" i="4"/>
  <c r="AQ393" i="4"/>
  <c r="AO394" i="4"/>
  <c r="AQ394" i="4"/>
  <c r="AO395" i="4"/>
  <c r="Z395" i="4"/>
  <c r="AQ395" i="4"/>
  <c r="AO396" i="4"/>
  <c r="Z396" i="4"/>
  <c r="AQ396" i="4"/>
  <c r="AO397" i="4"/>
  <c r="Z397" i="4"/>
  <c r="AQ397" i="4"/>
  <c r="AO398" i="4"/>
  <c r="Z398" i="4"/>
  <c r="AQ398" i="4"/>
  <c r="AO399" i="4"/>
  <c r="AQ399" i="4"/>
  <c r="AO400" i="4"/>
  <c r="Z400" i="4"/>
  <c r="AQ400" i="4"/>
  <c r="AO401" i="4"/>
  <c r="AQ401" i="4"/>
  <c r="AO402" i="4"/>
  <c r="Z402" i="4"/>
  <c r="AQ402" i="4"/>
  <c r="AO403" i="4"/>
  <c r="AQ403" i="4"/>
  <c r="AO404" i="4"/>
  <c r="AQ404" i="4"/>
  <c r="AO405" i="4"/>
  <c r="Z405" i="4"/>
  <c r="AQ405" i="4"/>
  <c r="AO406" i="4"/>
  <c r="Z406" i="4"/>
  <c r="AQ406" i="4"/>
  <c r="AO407" i="4"/>
  <c r="Z407" i="4"/>
  <c r="AQ407" i="4"/>
  <c r="AO408" i="4"/>
  <c r="Z408" i="4"/>
  <c r="AQ408" i="4"/>
  <c r="AO409" i="4"/>
  <c r="Z409" i="4"/>
  <c r="AQ409" i="4"/>
  <c r="AO410" i="4"/>
  <c r="Z410" i="4"/>
  <c r="AQ410" i="4"/>
  <c r="AO411" i="4"/>
  <c r="AQ411" i="4"/>
  <c r="AO412" i="4"/>
  <c r="AQ412" i="4"/>
  <c r="AO413" i="4"/>
  <c r="Z413" i="4"/>
  <c r="AQ413" i="4"/>
  <c r="AO414" i="4"/>
  <c r="Z414" i="4"/>
  <c r="AQ414" i="4"/>
  <c r="AO415" i="4"/>
  <c r="AQ415" i="4"/>
  <c r="AO416" i="4"/>
  <c r="Z416" i="4"/>
  <c r="AQ416" i="4"/>
  <c r="AO417" i="4"/>
  <c r="Z417" i="4"/>
  <c r="AQ417" i="4"/>
  <c r="AO418" i="4"/>
  <c r="AQ418" i="4"/>
  <c r="AO419" i="4"/>
  <c r="Z419" i="4"/>
  <c r="AQ419" i="4"/>
  <c r="AO420" i="4"/>
  <c r="AQ420" i="4"/>
  <c r="AO421" i="4"/>
  <c r="Z421" i="4"/>
  <c r="AQ421" i="4"/>
  <c r="AO422" i="4"/>
  <c r="Z422" i="4"/>
  <c r="AQ422" i="4"/>
  <c r="AO423" i="4"/>
  <c r="Z423" i="4"/>
  <c r="AQ423" i="4"/>
  <c r="AO424" i="4"/>
  <c r="Z424" i="4"/>
  <c r="AQ424" i="4"/>
  <c r="AO425" i="4"/>
  <c r="Z425" i="4"/>
  <c r="AQ425" i="4"/>
  <c r="AO426" i="4"/>
  <c r="AQ426" i="4"/>
  <c r="AO427" i="4"/>
  <c r="AQ427" i="4"/>
  <c r="AO428" i="4"/>
  <c r="Z428" i="4"/>
  <c r="AQ428" i="4"/>
  <c r="AO429" i="4"/>
  <c r="AQ429" i="4"/>
  <c r="AO430" i="4"/>
  <c r="AQ430" i="4"/>
  <c r="AO431" i="4"/>
  <c r="Z431" i="4"/>
  <c r="AQ431" i="4"/>
  <c r="AO432" i="4"/>
  <c r="Z432" i="4"/>
  <c r="AQ432" i="4"/>
  <c r="AO433" i="4"/>
  <c r="AQ433" i="4"/>
  <c r="AO434" i="4"/>
  <c r="Z434" i="4"/>
  <c r="AQ434" i="4"/>
  <c r="AO435" i="4"/>
  <c r="Z435" i="4"/>
  <c r="AQ435" i="4"/>
  <c r="AO436" i="4"/>
  <c r="AQ436" i="4"/>
  <c r="AO437" i="4"/>
  <c r="AQ437" i="4"/>
  <c r="AO438" i="4"/>
  <c r="AQ438" i="4"/>
  <c r="AO439" i="4"/>
  <c r="AQ439" i="4"/>
  <c r="AO440" i="4"/>
  <c r="Z440" i="4"/>
  <c r="AQ440" i="4"/>
  <c r="AO441" i="4"/>
  <c r="Z441" i="4"/>
  <c r="AQ441" i="4"/>
  <c r="AO442" i="4"/>
  <c r="AQ442" i="4"/>
  <c r="AO443" i="4"/>
  <c r="AQ443" i="4"/>
  <c r="AO444" i="4"/>
  <c r="AQ444" i="4"/>
  <c r="AO445" i="4"/>
  <c r="AQ445" i="4"/>
  <c r="AO446" i="4"/>
  <c r="AQ446" i="4"/>
  <c r="AO447" i="4"/>
  <c r="AQ447" i="4"/>
  <c r="AO448" i="4"/>
  <c r="AQ448" i="4"/>
  <c r="AO449" i="4"/>
  <c r="AQ449" i="4"/>
  <c r="AO450" i="4"/>
  <c r="Z450" i="4"/>
  <c r="AQ450" i="4"/>
  <c r="AO451" i="4"/>
  <c r="AQ451" i="4"/>
  <c r="AO452" i="4"/>
  <c r="AQ452" i="4"/>
  <c r="AO453" i="4"/>
  <c r="Z453" i="4"/>
  <c r="AQ453" i="4"/>
  <c r="AO454" i="4"/>
  <c r="AQ454" i="4"/>
  <c r="AO455" i="4"/>
  <c r="AQ455" i="4"/>
  <c r="AO456" i="4"/>
  <c r="AQ456" i="4"/>
  <c r="AO457" i="4"/>
  <c r="Z457" i="4"/>
  <c r="AQ457" i="4"/>
  <c r="AO458" i="4"/>
  <c r="Z458" i="4"/>
  <c r="AQ458" i="4"/>
  <c r="AO459" i="4"/>
  <c r="Z459" i="4"/>
  <c r="AQ459" i="4"/>
  <c r="AO460" i="4"/>
  <c r="AQ460" i="4"/>
  <c r="AO461" i="4"/>
  <c r="AQ461" i="4"/>
  <c r="AO462" i="4"/>
  <c r="Z462" i="4"/>
  <c r="AQ462" i="4"/>
  <c r="AO463" i="4"/>
  <c r="AQ463" i="4"/>
  <c r="AO464" i="4"/>
  <c r="Z464" i="4"/>
  <c r="AQ464" i="4"/>
  <c r="AO465" i="4"/>
  <c r="Z465" i="4"/>
  <c r="AQ465" i="4"/>
  <c r="AO466" i="4"/>
  <c r="Z466" i="4"/>
  <c r="AQ466" i="4"/>
  <c r="AO467" i="4"/>
  <c r="Z467" i="4"/>
  <c r="AQ467" i="4"/>
  <c r="AO468" i="4"/>
  <c r="AQ468" i="4"/>
  <c r="AO469" i="4"/>
  <c r="AQ469" i="4"/>
  <c r="AO470" i="4"/>
  <c r="Z470" i="4"/>
  <c r="AQ470" i="4"/>
  <c r="AO471" i="4"/>
  <c r="Z471" i="4"/>
  <c r="AQ471" i="4"/>
  <c r="AO472" i="4"/>
  <c r="Z472" i="4"/>
  <c r="AQ472" i="4"/>
  <c r="AO473" i="4"/>
  <c r="Z473" i="4"/>
  <c r="AQ473" i="4"/>
  <c r="AO474" i="4"/>
  <c r="AQ474" i="4"/>
  <c r="AO475" i="4"/>
  <c r="Z475" i="4"/>
  <c r="AQ475" i="4"/>
  <c r="AO476" i="4"/>
  <c r="Z476" i="4"/>
  <c r="AQ476" i="4"/>
  <c r="AO477" i="4"/>
  <c r="AQ477" i="4"/>
  <c r="AO478" i="4"/>
  <c r="Z478" i="4"/>
  <c r="AQ478" i="4"/>
  <c r="AO479" i="4"/>
  <c r="AQ479" i="4"/>
  <c r="AO480" i="4"/>
  <c r="Z480" i="4"/>
  <c r="AQ480" i="4"/>
  <c r="AO481" i="4"/>
  <c r="Z481" i="4"/>
  <c r="AQ481" i="4"/>
  <c r="AO482" i="4"/>
  <c r="AQ482" i="4"/>
  <c r="AO483" i="4"/>
  <c r="Z483" i="4"/>
  <c r="AQ483" i="4"/>
  <c r="AO484" i="4"/>
  <c r="Z484" i="4"/>
  <c r="AQ484" i="4"/>
  <c r="AO485" i="4"/>
  <c r="AQ485" i="4"/>
  <c r="AO486" i="4"/>
  <c r="Z486" i="4"/>
  <c r="AQ486" i="4"/>
  <c r="AO487" i="4"/>
  <c r="Z487" i="4"/>
  <c r="AQ487" i="4"/>
  <c r="AO488" i="4"/>
  <c r="AQ488" i="4"/>
  <c r="AO489" i="4"/>
  <c r="Z489" i="4"/>
  <c r="AQ489" i="4"/>
  <c r="AO490" i="4"/>
  <c r="Z490" i="4"/>
  <c r="AQ490" i="4"/>
  <c r="AO491" i="4"/>
  <c r="AQ491" i="4"/>
  <c r="AO492" i="4"/>
  <c r="Z492" i="4"/>
  <c r="AQ492" i="4"/>
  <c r="AO493" i="4"/>
  <c r="Z493" i="4"/>
  <c r="AQ493" i="4"/>
  <c r="AO494" i="4"/>
  <c r="AQ494" i="4"/>
  <c r="AO495" i="4"/>
  <c r="Z495" i="4"/>
  <c r="AQ495" i="4"/>
  <c r="AO496" i="4"/>
  <c r="Z496" i="4"/>
  <c r="AQ496" i="4"/>
  <c r="AO497" i="4"/>
  <c r="AQ497" i="4"/>
  <c r="AO498" i="4"/>
  <c r="Z498" i="4"/>
  <c r="AQ498" i="4"/>
  <c r="AO499" i="4"/>
  <c r="Z499" i="4"/>
  <c r="AQ499" i="4"/>
  <c r="AO500" i="4"/>
  <c r="AQ500" i="4"/>
  <c r="AO501" i="4"/>
  <c r="Z501" i="4"/>
  <c r="AQ501" i="4"/>
  <c r="AO502" i="4"/>
  <c r="Z502" i="4"/>
  <c r="AQ502" i="4"/>
  <c r="AO503" i="4"/>
  <c r="AQ503" i="4"/>
  <c r="AO504" i="4"/>
  <c r="Z504" i="4"/>
  <c r="AQ504" i="4"/>
  <c r="AO505" i="4"/>
  <c r="Z505" i="4"/>
  <c r="AQ505" i="4"/>
  <c r="AO506" i="4"/>
  <c r="AQ506" i="4"/>
  <c r="AO507" i="4"/>
  <c r="Z507" i="4"/>
  <c r="AQ507" i="4"/>
  <c r="AO508" i="4"/>
  <c r="Z508" i="4"/>
  <c r="AQ508" i="4"/>
  <c r="AO509" i="4"/>
  <c r="AQ509" i="4"/>
  <c r="AO510" i="4"/>
  <c r="Z510" i="4"/>
  <c r="AQ510" i="4"/>
  <c r="AO511" i="4"/>
  <c r="Z511" i="4"/>
  <c r="AQ511" i="4"/>
  <c r="AO512" i="4"/>
  <c r="AQ512" i="4"/>
  <c r="AO513" i="4"/>
  <c r="Z513" i="4"/>
  <c r="AQ513" i="4"/>
  <c r="AO514" i="4"/>
  <c r="Z514" i="4"/>
  <c r="AQ514" i="4"/>
  <c r="AO515" i="4"/>
  <c r="AQ515" i="4"/>
  <c r="AO516" i="4"/>
  <c r="Z516" i="4"/>
  <c r="AQ516" i="4"/>
  <c r="AO517" i="4"/>
  <c r="Z517" i="4"/>
  <c r="AQ517" i="4"/>
  <c r="AO518" i="4"/>
  <c r="AQ518" i="4"/>
  <c r="AO519" i="4"/>
  <c r="Z519" i="4"/>
  <c r="AQ519" i="4"/>
  <c r="AO520" i="4"/>
  <c r="Z520" i="4"/>
  <c r="AQ520" i="4"/>
  <c r="AO521" i="4"/>
  <c r="AQ521" i="4"/>
  <c r="AO522" i="4"/>
  <c r="Z522" i="4"/>
  <c r="AQ522" i="4"/>
  <c r="AO523" i="4"/>
  <c r="Z523" i="4"/>
  <c r="AQ523" i="4"/>
  <c r="AO524" i="4"/>
  <c r="AQ524" i="4"/>
  <c r="AO525" i="4"/>
  <c r="Z525" i="4"/>
  <c r="AQ525" i="4"/>
  <c r="AO526" i="4"/>
  <c r="Z526" i="4"/>
  <c r="AQ526" i="4"/>
  <c r="AO527" i="4"/>
  <c r="AQ527" i="4"/>
  <c r="AO528" i="4"/>
  <c r="Z528" i="4"/>
  <c r="AQ528" i="4"/>
  <c r="AO529" i="4"/>
  <c r="Z529" i="4"/>
  <c r="AQ529" i="4"/>
  <c r="AO530" i="4"/>
  <c r="AQ530" i="4"/>
  <c r="AO531" i="4"/>
  <c r="Z531" i="4"/>
  <c r="AQ531" i="4"/>
  <c r="AO532" i="4"/>
  <c r="Z532" i="4"/>
  <c r="AQ532" i="4"/>
  <c r="AO533" i="4"/>
  <c r="AQ533" i="4"/>
  <c r="AO534" i="4"/>
  <c r="Z534" i="4"/>
  <c r="AQ534" i="4"/>
  <c r="AO535" i="4"/>
  <c r="Z535" i="4"/>
  <c r="AQ535" i="4"/>
  <c r="AO536" i="4"/>
  <c r="AQ536" i="4"/>
  <c r="AO537" i="4"/>
  <c r="Z537" i="4"/>
  <c r="AQ537" i="4"/>
  <c r="AO538" i="4"/>
  <c r="Z538" i="4"/>
  <c r="AQ538" i="4"/>
  <c r="AO539" i="4"/>
  <c r="AQ539" i="4"/>
  <c r="AO540" i="4"/>
  <c r="AQ540" i="4"/>
  <c r="AO541" i="4"/>
  <c r="Z541" i="4"/>
  <c r="AQ541" i="4"/>
  <c r="AO542" i="4"/>
  <c r="Z542" i="4"/>
  <c r="AQ542" i="4"/>
  <c r="AO543" i="4"/>
  <c r="Z543" i="4"/>
  <c r="AQ543" i="4"/>
  <c r="AO544" i="4"/>
  <c r="AQ544" i="4"/>
  <c r="AO545" i="4"/>
  <c r="AQ545" i="4"/>
  <c r="AO546" i="4"/>
  <c r="AQ546" i="4"/>
  <c r="AO547" i="4"/>
  <c r="AQ547" i="4"/>
  <c r="AO548" i="4"/>
  <c r="Z548" i="4"/>
  <c r="AQ548" i="4"/>
  <c r="AO549" i="4"/>
  <c r="AQ549" i="4"/>
  <c r="AO550" i="4"/>
  <c r="AQ550" i="4"/>
  <c r="C27" i="26" l="1"/>
  <c r="G27" i="26" s="1"/>
  <c r="B28" i="26"/>
  <c r="AG51" i="8"/>
  <c r="AH50" i="8"/>
  <c r="AB52" i="8"/>
  <c r="AA53" i="8"/>
  <c r="Z369" i="4"/>
  <c r="Z469" i="4"/>
  <c r="Z452" i="4"/>
  <c r="Z449" i="4"/>
  <c r="Z446" i="4"/>
  <c r="Z420" i="4"/>
  <c r="Z394" i="4"/>
  <c r="Z391" i="4"/>
  <c r="Z357" i="4"/>
  <c r="Z328" i="4"/>
  <c r="Z294" i="4"/>
  <c r="Z277" i="4"/>
  <c r="Z263" i="4"/>
  <c r="Z238" i="4"/>
  <c r="Z232" i="4"/>
  <c r="Z226" i="4"/>
  <c r="Z549" i="4"/>
  <c r="Z411" i="4"/>
  <c r="Z322" i="4"/>
  <c r="Z308" i="4"/>
  <c r="Z305" i="4"/>
  <c r="Z302" i="4"/>
  <c r="Z288" i="4"/>
  <c r="Z274" i="4"/>
  <c r="Z260" i="4"/>
  <c r="Z249" i="4"/>
  <c r="Z451" i="4"/>
  <c r="Z399" i="4"/>
  <c r="Z365" i="4"/>
  <c r="Z362" i="4"/>
  <c r="Z359" i="4"/>
  <c r="Z356" i="4"/>
  <c r="Z339" i="4"/>
  <c r="Z296" i="4"/>
  <c r="Z285" i="4"/>
  <c r="Z268" i="4"/>
  <c r="Z254" i="4"/>
  <c r="Z477" i="4"/>
  <c r="Z445" i="4"/>
  <c r="Z439" i="4"/>
  <c r="Z433" i="4"/>
  <c r="Z324" i="4"/>
  <c r="Z304" i="4"/>
  <c r="Z290" i="4"/>
  <c r="Z276" i="4"/>
  <c r="Z259" i="4"/>
  <c r="Z234" i="4"/>
  <c r="Z545" i="4"/>
  <c r="Z430" i="4"/>
  <c r="Z404" i="4"/>
  <c r="Z387" i="4"/>
  <c r="Z344" i="4"/>
  <c r="Z341" i="4"/>
  <c r="Z338" i="4"/>
  <c r="Z298" i="4"/>
  <c r="Z284" i="4"/>
  <c r="Z270" i="4"/>
  <c r="Z256" i="4"/>
  <c r="Z245" i="4"/>
  <c r="Z242" i="4"/>
  <c r="Z539" i="4"/>
  <c r="Z401" i="4"/>
  <c r="Z312" i="4"/>
  <c r="Z267" i="4"/>
  <c r="Z550" i="4"/>
  <c r="Z461" i="4"/>
  <c r="Z447" i="4"/>
  <c r="Z444" i="4"/>
  <c r="Z438" i="4"/>
  <c r="Z429" i="4"/>
  <c r="Z426" i="4"/>
  <c r="Z418" i="4"/>
  <c r="Z415" i="4"/>
  <c r="Z412" i="4"/>
  <c r="Z392" i="4"/>
  <c r="Z346" i="4"/>
  <c r="Z326" i="4"/>
  <c r="Z323" i="4"/>
  <c r="Z320" i="4"/>
  <c r="Z306" i="4"/>
  <c r="Z289" i="4"/>
  <c r="Z236" i="4"/>
  <c r="Z546" i="4"/>
  <c r="Z454" i="4"/>
  <c r="Z436" i="4"/>
  <c r="Z540" i="4"/>
  <c r="Z456" i="4"/>
  <c r="Z443" i="4"/>
  <c r="Z379" i="4"/>
  <c r="Z235" i="4"/>
  <c r="Z474" i="4"/>
  <c r="Z448" i="4"/>
  <c r="Z403" i="4"/>
  <c r="Z547" i="4"/>
  <c r="Z536" i="4"/>
  <c r="Z533" i="4"/>
  <c r="Z530" i="4"/>
  <c r="Z527" i="4"/>
  <c r="Z524" i="4"/>
  <c r="Z521" i="4"/>
  <c r="Z518" i="4"/>
  <c r="Z515" i="4"/>
  <c r="Z512" i="4"/>
  <c r="Z509" i="4"/>
  <c r="Z506" i="4"/>
  <c r="Z503" i="4"/>
  <c r="Z500" i="4"/>
  <c r="Z497" i="4"/>
  <c r="Z494" i="4"/>
  <c r="Z491" i="4"/>
  <c r="Z488" i="4"/>
  <c r="Z485" i="4"/>
  <c r="Z482" i="4"/>
  <c r="Z479" i="4"/>
  <c r="Z463" i="4"/>
  <c r="Z455" i="4"/>
  <c r="Z442" i="4"/>
  <c r="Z437" i="4"/>
  <c r="Z427" i="4"/>
  <c r="Z544" i="4"/>
  <c r="Z468" i="4"/>
  <c r="Z460" i="4"/>
  <c r="Z283" i="4"/>
  <c r="Z265" i="4"/>
  <c r="Z247" i="4"/>
  <c r="Z229" i="4"/>
  <c r="AH26" i="8"/>
  <c r="AB27" i="8"/>
  <c r="Z370" i="4"/>
  <c r="Z373" i="4"/>
  <c r="Z364" i="4"/>
  <c r="Z355" i="4"/>
  <c r="Z349" i="4"/>
  <c r="Z343" i="4"/>
  <c r="Z337" i="4"/>
  <c r="Z331" i="4"/>
  <c r="Z325" i="4"/>
  <c r="Z319" i="4"/>
  <c r="Z313" i="4"/>
  <c r="Z307" i="4"/>
  <c r="Z301" i="4"/>
  <c r="Z295" i="4"/>
  <c r="Z361" i="4"/>
  <c r="Z367" i="4"/>
  <c r="Z358" i="4"/>
  <c r="C28" i="26" l="1"/>
  <c r="G28" i="26" s="1"/>
  <c r="B29" i="26"/>
  <c r="AB53" i="8"/>
  <c r="AA54" i="8"/>
  <c r="AG52" i="8"/>
  <c r="AH51" i="8"/>
  <c r="AH27" i="8"/>
  <c r="AB28" i="8"/>
  <c r="B1" i="8"/>
  <c r="G5" i="8" s="1"/>
  <c r="B30" i="26" l="1"/>
  <c r="C29" i="26"/>
  <c r="G29" i="26" s="1"/>
  <c r="G12" i="8"/>
  <c r="G13" i="8"/>
  <c r="G6" i="8"/>
  <c r="G9" i="8"/>
  <c r="Q20" i="8" s="1"/>
  <c r="AH52" i="8"/>
  <c r="AG53" i="8"/>
  <c r="AA55" i="8"/>
  <c r="AB54" i="8"/>
  <c r="AH28" i="8"/>
  <c r="AB29" i="8"/>
  <c r="S4" i="8"/>
  <c r="Q6" i="8"/>
  <c r="G4" i="8"/>
  <c r="C30" i="26" l="1"/>
  <c r="G30" i="26" s="1"/>
  <c r="B31" i="26"/>
  <c r="AA56" i="8"/>
  <c r="AB55" i="8"/>
  <c r="AG54" i="8"/>
  <c r="AH53" i="8"/>
  <c r="T615" i="8"/>
  <c r="T627" i="8"/>
  <c r="T639" i="8"/>
  <c r="T651" i="8"/>
  <c r="T663" i="8"/>
  <c r="T675" i="8"/>
  <c r="T687" i="8"/>
  <c r="T699" i="8"/>
  <c r="T711" i="8"/>
  <c r="T723" i="8"/>
  <c r="T735" i="8"/>
  <c r="T747" i="8"/>
  <c r="T759" i="8"/>
  <c r="T616" i="8"/>
  <c r="T628" i="8"/>
  <c r="T640" i="8"/>
  <c r="T652" i="8"/>
  <c r="T664" i="8"/>
  <c r="T676" i="8"/>
  <c r="T688" i="8"/>
  <c r="T700" i="8"/>
  <c r="T712" i="8"/>
  <c r="T724" i="8"/>
  <c r="T736" i="8"/>
  <c r="T748" i="8"/>
  <c r="T760" i="8"/>
  <c r="T617" i="8"/>
  <c r="T629" i="8"/>
  <c r="T641" i="8"/>
  <c r="T653" i="8"/>
  <c r="T665" i="8"/>
  <c r="T677" i="8"/>
  <c r="T689" i="8"/>
  <c r="T701" i="8"/>
  <c r="T713" i="8"/>
  <c r="T725" i="8"/>
  <c r="T737" i="8"/>
  <c r="T749" i="8"/>
  <c r="T761" i="8"/>
  <c r="T619" i="8"/>
  <c r="T631" i="8"/>
  <c r="T643" i="8"/>
  <c r="T655" i="8"/>
  <c r="T667" i="8"/>
  <c r="T679" i="8"/>
  <c r="T691" i="8"/>
  <c r="T703" i="8"/>
  <c r="T715" i="8"/>
  <c r="T727" i="8"/>
  <c r="T739" i="8"/>
  <c r="T751" i="8"/>
  <c r="T763" i="8"/>
  <c r="T710" i="8"/>
  <c r="T618" i="8"/>
  <c r="T630" i="8"/>
  <c r="T642" i="8"/>
  <c r="T654" i="8"/>
  <c r="T666" i="8"/>
  <c r="T678" i="8"/>
  <c r="T690" i="8"/>
  <c r="T702" i="8"/>
  <c r="T714" i="8"/>
  <c r="T726" i="8"/>
  <c r="T738" i="8"/>
  <c r="T750" i="8"/>
  <c r="T762" i="8"/>
  <c r="T620" i="8"/>
  <c r="T632" i="8"/>
  <c r="T644" i="8"/>
  <c r="T656" i="8"/>
  <c r="T668" i="8"/>
  <c r="T680" i="8"/>
  <c r="T692" i="8"/>
  <c r="T704" i="8"/>
  <c r="T716" i="8"/>
  <c r="T728" i="8"/>
  <c r="T740" i="8"/>
  <c r="T752" i="8"/>
  <c r="T764" i="8"/>
  <c r="T621" i="8"/>
  <c r="T633" i="8"/>
  <c r="T645" i="8"/>
  <c r="T657" i="8"/>
  <c r="T669" i="8"/>
  <c r="T681" i="8"/>
  <c r="T693" i="8"/>
  <c r="T705" i="8"/>
  <c r="T717" i="8"/>
  <c r="T729" i="8"/>
  <c r="T741" i="8"/>
  <c r="T753" i="8"/>
  <c r="T765" i="8"/>
  <c r="T754" i="8"/>
  <c r="T623" i="8"/>
  <c r="T659" i="8"/>
  <c r="T695" i="8"/>
  <c r="T719" i="8"/>
  <c r="T743" i="8"/>
  <c r="T756" i="8"/>
  <c r="T625" i="8"/>
  <c r="T661" i="8"/>
  <c r="T709" i="8"/>
  <c r="T745" i="8"/>
  <c r="T734" i="8"/>
  <c r="T622" i="8"/>
  <c r="T634" i="8"/>
  <c r="T646" i="8"/>
  <c r="T658" i="8"/>
  <c r="T670" i="8"/>
  <c r="T682" i="8"/>
  <c r="T694" i="8"/>
  <c r="T706" i="8"/>
  <c r="T718" i="8"/>
  <c r="T730" i="8"/>
  <c r="T742" i="8"/>
  <c r="T766" i="8"/>
  <c r="T635" i="8"/>
  <c r="T647" i="8"/>
  <c r="T671" i="8"/>
  <c r="T683" i="8"/>
  <c r="T707" i="8"/>
  <c r="T731" i="8"/>
  <c r="T755" i="8"/>
  <c r="T767" i="8"/>
  <c r="T732" i="8"/>
  <c r="T768" i="8"/>
  <c r="T637" i="8"/>
  <c r="T673" i="8"/>
  <c r="T697" i="8"/>
  <c r="T733" i="8"/>
  <c r="T626" i="8"/>
  <c r="T650" i="8"/>
  <c r="T662" i="8"/>
  <c r="T686" i="8"/>
  <c r="T722" i="8"/>
  <c r="T758" i="8"/>
  <c r="T624" i="8"/>
  <c r="T636" i="8"/>
  <c r="T648" i="8"/>
  <c r="T660" i="8"/>
  <c r="T672" i="8"/>
  <c r="T684" i="8"/>
  <c r="T696" i="8"/>
  <c r="T708" i="8"/>
  <c r="T720" i="8"/>
  <c r="T744" i="8"/>
  <c r="T649" i="8"/>
  <c r="T685" i="8"/>
  <c r="T721" i="8"/>
  <c r="T757" i="8"/>
  <c r="T614" i="8"/>
  <c r="T638" i="8"/>
  <c r="T674" i="8"/>
  <c r="T698" i="8"/>
  <c r="T746" i="8"/>
  <c r="AI23" i="8"/>
  <c r="AI29" i="8"/>
  <c r="AI35" i="8"/>
  <c r="AI41" i="8"/>
  <c r="AI47" i="8"/>
  <c r="AI53" i="8"/>
  <c r="AI59" i="8"/>
  <c r="AI65" i="8"/>
  <c r="AJ23" i="8"/>
  <c r="AJ29" i="8"/>
  <c r="AJ35" i="8"/>
  <c r="AJ41" i="8"/>
  <c r="AJ47" i="8"/>
  <c r="AJ53" i="8"/>
  <c r="AJ59" i="8"/>
  <c r="AJ65" i="8"/>
  <c r="AJ24" i="8"/>
  <c r="AJ30" i="8"/>
  <c r="AJ36" i="8"/>
  <c r="AJ42" i="8"/>
  <c r="AJ48" i="8"/>
  <c r="AJ60" i="8"/>
  <c r="AJ31" i="8"/>
  <c r="AJ55" i="8"/>
  <c r="AI32" i="8"/>
  <c r="AI50" i="8"/>
  <c r="AJ20" i="8"/>
  <c r="AJ38" i="8"/>
  <c r="AJ50" i="8"/>
  <c r="AJ62" i="8"/>
  <c r="AI21" i="8"/>
  <c r="AI27" i="8"/>
  <c r="AI33" i="8"/>
  <c r="AI39" i="8"/>
  <c r="AI45" i="8"/>
  <c r="AI51" i="8"/>
  <c r="AI57" i="8"/>
  <c r="AI63" i="8"/>
  <c r="AJ21" i="8"/>
  <c r="AJ33" i="8"/>
  <c r="AJ45" i="8"/>
  <c r="AJ63" i="8"/>
  <c r="AI28" i="8"/>
  <c r="AI34" i="8"/>
  <c r="AI46" i="8"/>
  <c r="AI58" i="8"/>
  <c r="AJ28" i="8"/>
  <c r="AJ40" i="8"/>
  <c r="AJ52" i="8"/>
  <c r="AJ64" i="8"/>
  <c r="AI24" i="8"/>
  <c r="AI30" i="8"/>
  <c r="AI36" i="8"/>
  <c r="AI42" i="8"/>
  <c r="AI48" i="8"/>
  <c r="AI54" i="8"/>
  <c r="AI60" i="8"/>
  <c r="AJ54" i="8"/>
  <c r="AJ37" i="8"/>
  <c r="AJ49" i="8"/>
  <c r="AI20" i="8"/>
  <c r="AI44" i="8"/>
  <c r="AI62" i="8"/>
  <c r="AJ26" i="8"/>
  <c r="AJ32" i="8"/>
  <c r="AJ44" i="8"/>
  <c r="AJ56" i="8"/>
  <c r="AI25" i="8"/>
  <c r="AI31" i="8"/>
  <c r="AI37" i="8"/>
  <c r="AI43" i="8"/>
  <c r="AI49" i="8"/>
  <c r="AI55" i="8"/>
  <c r="AI61" i="8"/>
  <c r="AJ25" i="8"/>
  <c r="AJ43" i="8"/>
  <c r="AJ61" i="8"/>
  <c r="AI26" i="8"/>
  <c r="AI38" i="8"/>
  <c r="AI56" i="8"/>
  <c r="AJ27" i="8"/>
  <c r="AJ39" i="8"/>
  <c r="AJ51" i="8"/>
  <c r="AJ57" i="8"/>
  <c r="AI22" i="8"/>
  <c r="AI40" i="8"/>
  <c r="AI52" i="8"/>
  <c r="AI64" i="8"/>
  <c r="AJ22" i="8"/>
  <c r="AJ34" i="8"/>
  <c r="AJ46" i="8"/>
  <c r="AJ58" i="8"/>
  <c r="AI19" i="8"/>
  <c r="AJ19" i="8"/>
  <c r="AD26" i="8"/>
  <c r="AD38" i="8"/>
  <c r="AD50" i="8"/>
  <c r="AD62" i="8"/>
  <c r="AD27" i="8"/>
  <c r="AD39" i="8"/>
  <c r="AD51" i="8"/>
  <c r="AD63" i="8"/>
  <c r="AD42" i="8"/>
  <c r="AD21" i="8"/>
  <c r="AD46" i="8"/>
  <c r="AD28" i="8"/>
  <c r="AD40" i="8"/>
  <c r="AD52" i="8"/>
  <c r="AD64" i="8"/>
  <c r="AD29" i="8"/>
  <c r="AD41" i="8"/>
  <c r="AD53" i="8"/>
  <c r="AD65" i="8"/>
  <c r="AD30" i="8"/>
  <c r="AD54" i="8"/>
  <c r="AD43" i="8"/>
  <c r="AD55" i="8"/>
  <c r="AD20" i="8"/>
  <c r="AD32" i="8"/>
  <c r="AD56" i="8"/>
  <c r="AD45" i="8"/>
  <c r="AD22" i="8"/>
  <c r="AD58" i="8"/>
  <c r="AD35" i="8"/>
  <c r="AD59" i="8"/>
  <c r="AD24" i="8"/>
  <c r="AD36" i="8"/>
  <c r="AD48" i="8"/>
  <c r="AD60" i="8"/>
  <c r="AD25" i="8"/>
  <c r="AD37" i="8"/>
  <c r="AD49" i="8"/>
  <c r="AD61" i="8"/>
  <c r="AD31" i="8"/>
  <c r="AD44" i="8"/>
  <c r="AD33" i="8"/>
  <c r="AD57" i="8"/>
  <c r="AD34" i="8"/>
  <c r="AD23" i="8"/>
  <c r="AD47" i="8"/>
  <c r="AC26" i="8"/>
  <c r="AC38" i="8"/>
  <c r="AC50" i="8"/>
  <c r="AC62" i="8"/>
  <c r="AC27" i="8"/>
  <c r="AC39" i="8"/>
  <c r="AC51" i="8"/>
  <c r="AC63" i="8"/>
  <c r="AC54" i="8"/>
  <c r="AC43" i="8"/>
  <c r="AC55" i="8"/>
  <c r="AC32" i="8"/>
  <c r="AC33" i="8"/>
  <c r="AC46" i="8"/>
  <c r="AC28" i="8"/>
  <c r="AC40" i="8"/>
  <c r="AC52" i="8"/>
  <c r="AC64" i="8"/>
  <c r="AC29" i="8"/>
  <c r="AC41" i="8"/>
  <c r="AC53" i="8"/>
  <c r="AC65" i="8"/>
  <c r="AC56" i="8"/>
  <c r="AC21" i="8"/>
  <c r="AC57" i="8"/>
  <c r="AC34" i="8"/>
  <c r="AC23" i="8"/>
  <c r="AC47" i="8"/>
  <c r="AC24" i="8"/>
  <c r="AC36" i="8"/>
  <c r="AC48" i="8"/>
  <c r="AC60" i="8"/>
  <c r="AC25" i="8"/>
  <c r="AC37" i="8"/>
  <c r="AC49" i="8"/>
  <c r="AC61" i="8"/>
  <c r="AC30" i="8"/>
  <c r="AC42" i="8"/>
  <c r="AC31" i="8"/>
  <c r="AC20" i="8"/>
  <c r="AC44" i="8"/>
  <c r="AC45" i="8"/>
  <c r="AC22" i="8"/>
  <c r="AC58" i="8"/>
  <c r="AC35" i="8"/>
  <c r="AC59" i="8"/>
  <c r="AC19" i="8"/>
  <c r="AD19" i="8"/>
  <c r="T769" i="8"/>
  <c r="M629" i="8"/>
  <c r="M641" i="8"/>
  <c r="M653" i="8"/>
  <c r="M665" i="8"/>
  <c r="M677" i="8"/>
  <c r="M689" i="8"/>
  <c r="M630" i="8"/>
  <c r="M642" i="8"/>
  <c r="M654" i="8"/>
  <c r="M666" i="8"/>
  <c r="M678" i="8"/>
  <c r="M690" i="8"/>
  <c r="M631" i="8"/>
  <c r="M643" i="8"/>
  <c r="M655" i="8"/>
  <c r="M667" i="8"/>
  <c r="M679" i="8"/>
  <c r="M691" i="8"/>
  <c r="M632" i="8"/>
  <c r="M644" i="8"/>
  <c r="M656" i="8"/>
  <c r="M668" i="8"/>
  <c r="M680" i="8"/>
  <c r="M692" i="8"/>
  <c r="M621" i="8"/>
  <c r="M633" i="8"/>
  <c r="M645" i="8"/>
  <c r="M657" i="8"/>
  <c r="M669" i="8"/>
  <c r="M681" i="8"/>
  <c r="M693" i="8"/>
  <c r="M622" i="8"/>
  <c r="M634" i="8"/>
  <c r="M646" i="8"/>
  <c r="M658" i="8"/>
  <c r="M670" i="8"/>
  <c r="M682" i="8"/>
  <c r="M623" i="8"/>
  <c r="M635" i="8"/>
  <c r="M647" i="8"/>
  <c r="M659" i="8"/>
  <c r="M671" i="8"/>
  <c r="M626" i="8"/>
  <c r="M638" i="8"/>
  <c r="M627" i="8"/>
  <c r="M639" i="8"/>
  <c r="M628" i="8"/>
  <c r="M640" i="8"/>
  <c r="M624" i="8"/>
  <c r="M697" i="8"/>
  <c r="M704" i="8"/>
  <c r="M716" i="8"/>
  <c r="M728" i="8"/>
  <c r="M740" i="8"/>
  <c r="M636" i="8"/>
  <c r="M673" i="8"/>
  <c r="M675" i="8"/>
  <c r="M683" i="8"/>
  <c r="M706" i="8"/>
  <c r="M718" i="8"/>
  <c r="M730" i="8"/>
  <c r="M742" i="8"/>
  <c r="M649" i="8"/>
  <c r="M651" i="8"/>
  <c r="M685" i="8"/>
  <c r="M708" i="8"/>
  <c r="M720" i="8"/>
  <c r="M732" i="8"/>
  <c r="M744" i="8"/>
  <c r="M687" i="8"/>
  <c r="M705" i="8"/>
  <c r="M710" i="8"/>
  <c r="M737" i="8"/>
  <c r="M749" i="8"/>
  <c r="M761" i="8"/>
  <c r="M637" i="8"/>
  <c r="M648" i="8"/>
  <c r="M672" i="8"/>
  <c r="M709" i="8"/>
  <c r="M696" i="8"/>
  <c r="M661" i="8"/>
  <c r="M688" i="8"/>
  <c r="M698" i="8"/>
  <c r="M713" i="8"/>
  <c r="M729" i="8"/>
  <c r="M734" i="8"/>
  <c r="M625" i="8"/>
  <c r="M652" i="8"/>
  <c r="M664" i="8"/>
  <c r="M702" i="8"/>
  <c r="M707" i="8"/>
  <c r="M723" i="8"/>
  <c r="M756" i="8"/>
  <c r="M676" i="8"/>
  <c r="M686" i="8"/>
  <c r="M712" i="8"/>
  <c r="M733" i="8"/>
  <c r="M739" i="8"/>
  <c r="M757" i="8"/>
  <c r="M650" i="8"/>
  <c r="M662" i="8"/>
  <c r="M711" i="8"/>
  <c r="M738" i="8"/>
  <c r="M743" i="8"/>
  <c r="M759" i="8"/>
  <c r="M695" i="8"/>
  <c r="M699" i="8"/>
  <c r="M721" i="8"/>
  <c r="M725" i="8"/>
  <c r="M754" i="8"/>
  <c r="M750" i="8"/>
  <c r="M717" i="8"/>
  <c r="M719" i="8"/>
  <c r="M736" i="8"/>
  <c r="M764" i="8"/>
  <c r="M760" i="8"/>
  <c r="M715" i="8"/>
  <c r="M753" i="8"/>
  <c r="M660" i="8"/>
  <c r="M674" i="8"/>
  <c r="M700" i="8"/>
  <c r="M747" i="8"/>
  <c r="M703" i="8"/>
  <c r="M726" i="8"/>
  <c r="M763" i="8"/>
  <c r="M741" i="8"/>
  <c r="M722" i="8"/>
  <c r="M745" i="8"/>
  <c r="M752" i="8"/>
  <c r="M724" i="8"/>
  <c r="M727" i="8"/>
  <c r="M746" i="8"/>
  <c r="M701" i="8"/>
  <c r="M762" i="8"/>
  <c r="M663" i="8"/>
  <c r="M714" i="8"/>
  <c r="M748" i="8"/>
  <c r="M758" i="8"/>
  <c r="M766" i="8"/>
  <c r="M769" i="8"/>
  <c r="M684" i="8"/>
  <c r="M765" i="8"/>
  <c r="M731" i="8"/>
  <c r="M735" i="8"/>
  <c r="M751" i="8"/>
  <c r="M755" i="8"/>
  <c r="M767" i="8"/>
  <c r="M768" i="8"/>
  <c r="M694" i="8"/>
  <c r="M618" i="8"/>
  <c r="M616" i="8"/>
  <c r="M617" i="8"/>
  <c r="M619" i="8"/>
  <c r="M620" i="8"/>
  <c r="T613" i="8"/>
  <c r="T612" i="8"/>
  <c r="T611" i="8"/>
  <c r="T610" i="8"/>
  <c r="T609" i="8"/>
  <c r="T608" i="8"/>
  <c r="T607" i="8"/>
  <c r="T606" i="8"/>
  <c r="T605" i="8"/>
  <c r="T604" i="8"/>
  <c r="M609" i="8"/>
  <c r="M608" i="8"/>
  <c r="M607" i="8"/>
  <c r="M606" i="8"/>
  <c r="M605" i="8"/>
  <c r="M604" i="8"/>
  <c r="M613" i="8"/>
  <c r="M612" i="8"/>
  <c r="M611" i="8"/>
  <c r="M610" i="8"/>
  <c r="T20" i="8"/>
  <c r="AH29" i="8"/>
  <c r="R19" i="8"/>
  <c r="V19" i="8"/>
  <c r="R20" i="8" s="1"/>
  <c r="AB30" i="8"/>
  <c r="T602" i="8"/>
  <c r="T596" i="8"/>
  <c r="T599" i="8"/>
  <c r="T601" i="8"/>
  <c r="T603" i="8"/>
  <c r="T598" i="8"/>
  <c r="T600" i="8"/>
  <c r="T597" i="8"/>
  <c r="M350" i="8"/>
  <c r="M362" i="8"/>
  <c r="M374" i="8"/>
  <c r="M386" i="8"/>
  <c r="M398" i="8"/>
  <c r="M410" i="8"/>
  <c r="M422" i="8"/>
  <c r="M434" i="8"/>
  <c r="M446" i="8"/>
  <c r="M458" i="8"/>
  <c r="M470" i="8"/>
  <c r="M482" i="8"/>
  <c r="M494" i="8"/>
  <c r="M506" i="8"/>
  <c r="M518" i="8"/>
  <c r="M530" i="8"/>
  <c r="M542" i="8"/>
  <c r="M554" i="8"/>
  <c r="M566" i="8"/>
  <c r="M578" i="8"/>
  <c r="M590" i="8"/>
  <c r="M602" i="8"/>
  <c r="M419" i="8"/>
  <c r="M491" i="8"/>
  <c r="M551" i="8"/>
  <c r="M384" i="8"/>
  <c r="M492" i="8"/>
  <c r="M576" i="8"/>
  <c r="M433" i="8"/>
  <c r="M505" i="8"/>
  <c r="M589" i="8"/>
  <c r="M351" i="8"/>
  <c r="M363" i="8"/>
  <c r="M375" i="8"/>
  <c r="M387" i="8"/>
  <c r="M399" i="8"/>
  <c r="M411" i="8"/>
  <c r="M423" i="8"/>
  <c r="M435" i="8"/>
  <c r="M447" i="8"/>
  <c r="M459" i="8"/>
  <c r="M471" i="8"/>
  <c r="M483" i="8"/>
  <c r="M495" i="8"/>
  <c r="M507" i="8"/>
  <c r="M519" i="8"/>
  <c r="M531" i="8"/>
  <c r="M543" i="8"/>
  <c r="M555" i="8"/>
  <c r="M567" i="8"/>
  <c r="M579" i="8"/>
  <c r="M591" i="8"/>
  <c r="M603" i="8"/>
  <c r="M582" i="8"/>
  <c r="M355" i="8"/>
  <c r="M403" i="8"/>
  <c r="M451" i="8"/>
  <c r="M499" i="8"/>
  <c r="M535" i="8"/>
  <c r="M583" i="8"/>
  <c r="M368" i="8"/>
  <c r="M416" i="8"/>
  <c r="M464" i="8"/>
  <c r="M512" i="8"/>
  <c r="M572" i="8"/>
  <c r="M514" i="8"/>
  <c r="M574" i="8"/>
  <c r="M407" i="8"/>
  <c r="M467" i="8"/>
  <c r="M539" i="8"/>
  <c r="M360" i="8"/>
  <c r="M444" i="8"/>
  <c r="M540" i="8"/>
  <c r="M409" i="8"/>
  <c r="M469" i="8"/>
  <c r="M577" i="8"/>
  <c r="M352" i="8"/>
  <c r="M364" i="8"/>
  <c r="M376" i="8"/>
  <c r="M388" i="8"/>
  <c r="M400" i="8"/>
  <c r="M412" i="8"/>
  <c r="M424" i="8"/>
  <c r="M436" i="8"/>
  <c r="M448" i="8"/>
  <c r="M460" i="8"/>
  <c r="M472" i="8"/>
  <c r="M484" i="8"/>
  <c r="M496" i="8"/>
  <c r="M508" i="8"/>
  <c r="M520" i="8"/>
  <c r="M532" i="8"/>
  <c r="M544" i="8"/>
  <c r="M556" i="8"/>
  <c r="M568" i="8"/>
  <c r="M580" i="8"/>
  <c r="M592" i="8"/>
  <c r="M614" i="8"/>
  <c r="M570" i="8"/>
  <c r="M379" i="8"/>
  <c r="M415" i="8"/>
  <c r="M463" i="8"/>
  <c r="M547" i="8"/>
  <c r="M380" i="8"/>
  <c r="M428" i="8"/>
  <c r="M476" i="8"/>
  <c r="M548" i="8"/>
  <c r="M526" i="8"/>
  <c r="M586" i="8"/>
  <c r="M359" i="8"/>
  <c r="M455" i="8"/>
  <c r="M563" i="8"/>
  <c r="M432" i="8"/>
  <c r="M504" i="8"/>
  <c r="M385" i="8"/>
  <c r="M457" i="8"/>
  <c r="M529" i="8"/>
  <c r="M353" i="8"/>
  <c r="M365" i="8"/>
  <c r="M377" i="8"/>
  <c r="M389" i="8"/>
  <c r="M401" i="8"/>
  <c r="M413" i="8"/>
  <c r="M425" i="8"/>
  <c r="M437" i="8"/>
  <c r="M449" i="8"/>
  <c r="M461" i="8"/>
  <c r="M473" i="8"/>
  <c r="M485" i="8"/>
  <c r="M497" i="8"/>
  <c r="M509" i="8"/>
  <c r="M521" i="8"/>
  <c r="M533" i="8"/>
  <c r="M545" i="8"/>
  <c r="M557" i="8"/>
  <c r="M569" i="8"/>
  <c r="M581" i="8"/>
  <c r="M593" i="8"/>
  <c r="M615" i="8"/>
  <c r="M546" i="8"/>
  <c r="M594" i="8"/>
  <c r="M391" i="8"/>
  <c r="M439" i="8"/>
  <c r="M487" i="8"/>
  <c r="M511" i="8"/>
  <c r="M559" i="8"/>
  <c r="M595" i="8"/>
  <c r="M392" i="8"/>
  <c r="M440" i="8"/>
  <c r="M488" i="8"/>
  <c r="M536" i="8"/>
  <c r="M584" i="8"/>
  <c r="M502" i="8"/>
  <c r="M562" i="8"/>
  <c r="M383" i="8"/>
  <c r="M479" i="8"/>
  <c r="M575" i="8"/>
  <c r="M372" i="8"/>
  <c r="M468" i="8"/>
  <c r="M564" i="8"/>
  <c r="M397" i="8"/>
  <c r="M517" i="8"/>
  <c r="M354" i="8"/>
  <c r="M366" i="8"/>
  <c r="M378" i="8"/>
  <c r="M390" i="8"/>
  <c r="M402" i="8"/>
  <c r="M414" i="8"/>
  <c r="M426" i="8"/>
  <c r="M438" i="8"/>
  <c r="M450" i="8"/>
  <c r="M462" i="8"/>
  <c r="M474" i="8"/>
  <c r="M486" i="8"/>
  <c r="M498" i="8"/>
  <c r="M510" i="8"/>
  <c r="M522" i="8"/>
  <c r="M534" i="8"/>
  <c r="M558" i="8"/>
  <c r="M367" i="8"/>
  <c r="M427" i="8"/>
  <c r="M475" i="8"/>
  <c r="M523" i="8"/>
  <c r="M571" i="8"/>
  <c r="M356" i="8"/>
  <c r="M404" i="8"/>
  <c r="M452" i="8"/>
  <c r="M500" i="8"/>
  <c r="M560" i="8"/>
  <c r="M596" i="8"/>
  <c r="M538" i="8"/>
  <c r="M598" i="8"/>
  <c r="M395" i="8"/>
  <c r="M443" i="8"/>
  <c r="M515" i="8"/>
  <c r="M599" i="8"/>
  <c r="M420" i="8"/>
  <c r="M480" i="8"/>
  <c r="M552" i="8"/>
  <c r="M600" i="8"/>
  <c r="M445" i="8"/>
  <c r="M493" i="8"/>
  <c r="M553" i="8"/>
  <c r="M361" i="8"/>
  <c r="M524" i="8"/>
  <c r="M527" i="8"/>
  <c r="M408" i="8"/>
  <c r="M516" i="8"/>
  <c r="M373" i="8"/>
  <c r="M357" i="8"/>
  <c r="M369" i="8"/>
  <c r="M381" i="8"/>
  <c r="M393" i="8"/>
  <c r="M405" i="8"/>
  <c r="M417" i="8"/>
  <c r="M429" i="8"/>
  <c r="M441" i="8"/>
  <c r="M453" i="8"/>
  <c r="M465" i="8"/>
  <c r="M477" i="8"/>
  <c r="M489" i="8"/>
  <c r="M501" i="8"/>
  <c r="M513" i="8"/>
  <c r="M525" i="8"/>
  <c r="M537" i="8"/>
  <c r="M549" i="8"/>
  <c r="M561" i="8"/>
  <c r="M573" i="8"/>
  <c r="M585" i="8"/>
  <c r="M597" i="8"/>
  <c r="M358" i="8"/>
  <c r="M370" i="8"/>
  <c r="M382" i="8"/>
  <c r="M394" i="8"/>
  <c r="M406" i="8"/>
  <c r="M418" i="8"/>
  <c r="M430" i="8"/>
  <c r="M442" i="8"/>
  <c r="M454" i="8"/>
  <c r="M466" i="8"/>
  <c r="M478" i="8"/>
  <c r="M490" i="8"/>
  <c r="M550" i="8"/>
  <c r="M371" i="8"/>
  <c r="M431" i="8"/>
  <c r="M503" i="8"/>
  <c r="M587" i="8"/>
  <c r="M396" i="8"/>
  <c r="M456" i="8"/>
  <c r="M528" i="8"/>
  <c r="M588" i="8"/>
  <c r="M421" i="8"/>
  <c r="M481" i="8"/>
  <c r="M565" i="8"/>
  <c r="M601" i="8"/>
  <c r="M541" i="8"/>
  <c r="T17" i="8"/>
  <c r="V17" i="8"/>
  <c r="P7" i="8"/>
  <c r="R17" i="8"/>
  <c r="T21" i="8"/>
  <c r="T33" i="8"/>
  <c r="T45" i="8"/>
  <c r="T57" i="8"/>
  <c r="T69" i="8"/>
  <c r="T81" i="8"/>
  <c r="T93" i="8"/>
  <c r="T105" i="8"/>
  <c r="T117" i="8"/>
  <c r="T129" i="8"/>
  <c r="T141" i="8"/>
  <c r="T153" i="8"/>
  <c r="T165" i="8"/>
  <c r="T177" i="8"/>
  <c r="T189" i="8"/>
  <c r="T201" i="8"/>
  <c r="T213" i="8"/>
  <c r="T225" i="8"/>
  <c r="T237" i="8"/>
  <c r="T249" i="8"/>
  <c r="T261" i="8"/>
  <c r="T273" i="8"/>
  <c r="T285" i="8"/>
  <c r="T297" i="8"/>
  <c r="T309" i="8"/>
  <c r="T321" i="8"/>
  <c r="T333" i="8"/>
  <c r="T345" i="8"/>
  <c r="T357" i="8"/>
  <c r="T369" i="8"/>
  <c r="T381" i="8"/>
  <c r="T393" i="8"/>
  <c r="T405" i="8"/>
  <c r="T417" i="8"/>
  <c r="T429" i="8"/>
  <c r="T441" i="8"/>
  <c r="T453" i="8"/>
  <c r="T465" i="8"/>
  <c r="T477" i="8"/>
  <c r="T489" i="8"/>
  <c r="T501" i="8"/>
  <c r="T513" i="8"/>
  <c r="T525" i="8"/>
  <c r="T537" i="8"/>
  <c r="T549" i="8"/>
  <c r="T561" i="8"/>
  <c r="T573" i="8"/>
  <c r="T585" i="8"/>
  <c r="T152" i="8"/>
  <c r="T22" i="8"/>
  <c r="T34" i="8"/>
  <c r="T46" i="8"/>
  <c r="T58" i="8"/>
  <c r="T70" i="8"/>
  <c r="T82" i="8"/>
  <c r="T94" i="8"/>
  <c r="T106" i="8"/>
  <c r="T118" i="8"/>
  <c r="T130" i="8"/>
  <c r="T142" i="8"/>
  <c r="T154" i="8"/>
  <c r="T166" i="8"/>
  <c r="T178" i="8"/>
  <c r="T190" i="8"/>
  <c r="T202" i="8"/>
  <c r="T214" i="8"/>
  <c r="T226" i="8"/>
  <c r="T238" i="8"/>
  <c r="T250" i="8"/>
  <c r="T262" i="8"/>
  <c r="T274" i="8"/>
  <c r="T286" i="8"/>
  <c r="T298" i="8"/>
  <c r="T310" i="8"/>
  <c r="T322" i="8"/>
  <c r="T334" i="8"/>
  <c r="T346" i="8"/>
  <c r="T358" i="8"/>
  <c r="T370" i="8"/>
  <c r="T382" i="8"/>
  <c r="T394" i="8"/>
  <c r="T406" i="8"/>
  <c r="T418" i="8"/>
  <c r="T430" i="8"/>
  <c r="T442" i="8"/>
  <c r="T454" i="8"/>
  <c r="T466" i="8"/>
  <c r="T478" i="8"/>
  <c r="T490" i="8"/>
  <c r="T502" i="8"/>
  <c r="T514" i="8"/>
  <c r="T526" i="8"/>
  <c r="T538" i="8"/>
  <c r="T550" i="8"/>
  <c r="T562" i="8"/>
  <c r="T574" i="8"/>
  <c r="T586" i="8"/>
  <c r="T188" i="8"/>
  <c r="T23" i="8"/>
  <c r="T35" i="8"/>
  <c r="T47" i="8"/>
  <c r="T59" i="8"/>
  <c r="T71" i="8"/>
  <c r="T83" i="8"/>
  <c r="T95" i="8"/>
  <c r="T107" i="8"/>
  <c r="T119" i="8"/>
  <c r="T131" i="8"/>
  <c r="T143" i="8"/>
  <c r="T155" i="8"/>
  <c r="T167" i="8"/>
  <c r="T179" i="8"/>
  <c r="T191" i="8"/>
  <c r="T203" i="8"/>
  <c r="T215" i="8"/>
  <c r="T227" i="8"/>
  <c r="T239" i="8"/>
  <c r="T251" i="8"/>
  <c r="T263" i="8"/>
  <c r="T275" i="8"/>
  <c r="T287" i="8"/>
  <c r="T299" i="8"/>
  <c r="T311" i="8"/>
  <c r="T323" i="8"/>
  <c r="T335" i="8"/>
  <c r="T347" i="8"/>
  <c r="T359" i="8"/>
  <c r="T371" i="8"/>
  <c r="T383" i="8"/>
  <c r="T395" i="8"/>
  <c r="T407" i="8"/>
  <c r="T419" i="8"/>
  <c r="T431" i="8"/>
  <c r="T443" i="8"/>
  <c r="T455" i="8"/>
  <c r="T467" i="8"/>
  <c r="T479" i="8"/>
  <c r="T491" i="8"/>
  <c r="T503" i="8"/>
  <c r="T515" i="8"/>
  <c r="T527" i="8"/>
  <c r="T539" i="8"/>
  <c r="T551" i="8"/>
  <c r="T563" i="8"/>
  <c r="T575" i="8"/>
  <c r="T587" i="8"/>
  <c r="T140" i="8"/>
  <c r="T24" i="8"/>
  <c r="T36" i="8"/>
  <c r="T48" i="8"/>
  <c r="T60" i="8"/>
  <c r="T72" i="8"/>
  <c r="T84" i="8"/>
  <c r="T96" i="8"/>
  <c r="T108" i="8"/>
  <c r="T120" i="8"/>
  <c r="T132" i="8"/>
  <c r="T144" i="8"/>
  <c r="T156" i="8"/>
  <c r="T168" i="8"/>
  <c r="T180" i="8"/>
  <c r="T192" i="8"/>
  <c r="T204" i="8"/>
  <c r="T216" i="8"/>
  <c r="T228" i="8"/>
  <c r="T240" i="8"/>
  <c r="T252" i="8"/>
  <c r="T264" i="8"/>
  <c r="T276" i="8"/>
  <c r="T288" i="8"/>
  <c r="T300" i="8"/>
  <c r="T312" i="8"/>
  <c r="T324" i="8"/>
  <c r="T336" i="8"/>
  <c r="T348" i="8"/>
  <c r="T360" i="8"/>
  <c r="T372" i="8"/>
  <c r="T384" i="8"/>
  <c r="T396" i="8"/>
  <c r="T408" i="8"/>
  <c r="T420" i="8"/>
  <c r="T432" i="8"/>
  <c r="T444" i="8"/>
  <c r="T456" i="8"/>
  <c r="T468" i="8"/>
  <c r="T480" i="8"/>
  <c r="T492" i="8"/>
  <c r="T504" i="8"/>
  <c r="T516" i="8"/>
  <c r="T528" i="8"/>
  <c r="T540" i="8"/>
  <c r="T552" i="8"/>
  <c r="T564" i="8"/>
  <c r="T576" i="8"/>
  <c r="T588" i="8"/>
  <c r="T25" i="8"/>
  <c r="T37" i="8"/>
  <c r="T49" i="8"/>
  <c r="T61" i="8"/>
  <c r="T73" i="8"/>
  <c r="T85" i="8"/>
  <c r="T97" i="8"/>
  <c r="T109" i="8"/>
  <c r="T121" i="8"/>
  <c r="T133" i="8"/>
  <c r="T145" i="8"/>
  <c r="T157" i="8"/>
  <c r="T169" i="8"/>
  <c r="T181" i="8"/>
  <c r="T193" i="8"/>
  <c r="T205" i="8"/>
  <c r="T217" i="8"/>
  <c r="T229" i="8"/>
  <c r="T241" i="8"/>
  <c r="T253" i="8"/>
  <c r="T265" i="8"/>
  <c r="T277" i="8"/>
  <c r="T289" i="8"/>
  <c r="T301" i="8"/>
  <c r="T313" i="8"/>
  <c r="T325" i="8"/>
  <c r="T337" i="8"/>
  <c r="T349" i="8"/>
  <c r="T361" i="8"/>
  <c r="T373" i="8"/>
  <c r="T385" i="8"/>
  <c r="T397" i="8"/>
  <c r="T409" i="8"/>
  <c r="T421" i="8"/>
  <c r="T433" i="8"/>
  <c r="T445" i="8"/>
  <c r="T457" i="8"/>
  <c r="T469" i="8"/>
  <c r="T481" i="8"/>
  <c r="T493" i="8"/>
  <c r="T505" i="8"/>
  <c r="T517" i="8"/>
  <c r="T529" i="8"/>
  <c r="T541" i="8"/>
  <c r="T553" i="8"/>
  <c r="T565" i="8"/>
  <c r="T577" i="8"/>
  <c r="T589" i="8"/>
  <c r="T26" i="8"/>
  <c r="T38" i="8"/>
  <c r="T50" i="8"/>
  <c r="T62" i="8"/>
  <c r="T74" i="8"/>
  <c r="T86" i="8"/>
  <c r="T98" i="8"/>
  <c r="T110" i="8"/>
  <c r="T122" i="8"/>
  <c r="T134" i="8"/>
  <c r="T146" i="8"/>
  <c r="T158" i="8"/>
  <c r="T170" i="8"/>
  <c r="T182" i="8"/>
  <c r="T194" i="8"/>
  <c r="T206" i="8"/>
  <c r="T218" i="8"/>
  <c r="T230" i="8"/>
  <c r="T242" i="8"/>
  <c r="T254" i="8"/>
  <c r="T266" i="8"/>
  <c r="T278" i="8"/>
  <c r="T290" i="8"/>
  <c r="T302" i="8"/>
  <c r="T314" i="8"/>
  <c r="T326" i="8"/>
  <c r="T338" i="8"/>
  <c r="T350" i="8"/>
  <c r="T362" i="8"/>
  <c r="T374" i="8"/>
  <c r="T386" i="8"/>
  <c r="T398" i="8"/>
  <c r="T410" i="8"/>
  <c r="T422" i="8"/>
  <c r="T434" i="8"/>
  <c r="T446" i="8"/>
  <c r="T458" i="8"/>
  <c r="T470" i="8"/>
  <c r="T482" i="8"/>
  <c r="T494" i="8"/>
  <c r="T506" i="8"/>
  <c r="T518" i="8"/>
  <c r="T530" i="8"/>
  <c r="T542" i="8"/>
  <c r="T554" i="8"/>
  <c r="T566" i="8"/>
  <c r="T578" i="8"/>
  <c r="T590" i="8"/>
  <c r="T92" i="8"/>
  <c r="T164" i="8"/>
  <c r="T236" i="8"/>
  <c r="T284" i="8"/>
  <c r="T332" i="8"/>
  <c r="T392" i="8"/>
  <c r="T464" i="8"/>
  <c r="T548" i="8"/>
  <c r="T27" i="8"/>
  <c r="T39" i="8"/>
  <c r="T51" i="8"/>
  <c r="T63" i="8"/>
  <c r="T75" i="8"/>
  <c r="T87" i="8"/>
  <c r="T99" i="8"/>
  <c r="T111" i="8"/>
  <c r="T123" i="8"/>
  <c r="T135" i="8"/>
  <c r="T147" i="8"/>
  <c r="T159" i="8"/>
  <c r="T171" i="8"/>
  <c r="T183" i="8"/>
  <c r="T195" i="8"/>
  <c r="T207" i="8"/>
  <c r="T219" i="8"/>
  <c r="T231" i="8"/>
  <c r="T243" i="8"/>
  <c r="T255" i="8"/>
  <c r="T267" i="8"/>
  <c r="T279" i="8"/>
  <c r="T291" i="8"/>
  <c r="T303" i="8"/>
  <c r="T315" i="8"/>
  <c r="T327" i="8"/>
  <c r="T339" i="8"/>
  <c r="T351" i="8"/>
  <c r="T363" i="8"/>
  <c r="T375" i="8"/>
  <c r="T387" i="8"/>
  <c r="T399" i="8"/>
  <c r="T411" i="8"/>
  <c r="T423" i="8"/>
  <c r="T435" i="8"/>
  <c r="T447" i="8"/>
  <c r="T459" i="8"/>
  <c r="T471" i="8"/>
  <c r="T483" i="8"/>
  <c r="T495" i="8"/>
  <c r="T507" i="8"/>
  <c r="T519" i="8"/>
  <c r="T531" i="8"/>
  <c r="T543" i="8"/>
  <c r="T555" i="8"/>
  <c r="T567" i="8"/>
  <c r="T579" i="8"/>
  <c r="T591" i="8"/>
  <c r="T68" i="8"/>
  <c r="T224" i="8"/>
  <c r="T308" i="8"/>
  <c r="T380" i="8"/>
  <c r="T440" i="8"/>
  <c r="T500" i="8"/>
  <c r="T584" i="8"/>
  <c r="T28" i="8"/>
  <c r="T40" i="8"/>
  <c r="T52" i="8"/>
  <c r="T64" i="8"/>
  <c r="T76" i="8"/>
  <c r="T88" i="8"/>
  <c r="T100" i="8"/>
  <c r="T112" i="8"/>
  <c r="T124" i="8"/>
  <c r="T136" i="8"/>
  <c r="T148" i="8"/>
  <c r="T160" i="8"/>
  <c r="T172" i="8"/>
  <c r="T184" i="8"/>
  <c r="T196" i="8"/>
  <c r="T208" i="8"/>
  <c r="T220" i="8"/>
  <c r="T232" i="8"/>
  <c r="T244" i="8"/>
  <c r="T256" i="8"/>
  <c r="T268" i="8"/>
  <c r="T280" i="8"/>
  <c r="T292" i="8"/>
  <c r="T304" i="8"/>
  <c r="T316" i="8"/>
  <c r="T328" i="8"/>
  <c r="T340" i="8"/>
  <c r="T352" i="8"/>
  <c r="T364" i="8"/>
  <c r="T376" i="8"/>
  <c r="T388" i="8"/>
  <c r="T400" i="8"/>
  <c r="T412" i="8"/>
  <c r="T424" i="8"/>
  <c r="T436" i="8"/>
  <c r="T448" i="8"/>
  <c r="T460" i="8"/>
  <c r="T472" i="8"/>
  <c r="T484" i="8"/>
  <c r="T496" i="8"/>
  <c r="T508" i="8"/>
  <c r="T520" i="8"/>
  <c r="T532" i="8"/>
  <c r="T544" i="8"/>
  <c r="T556" i="8"/>
  <c r="T568" i="8"/>
  <c r="T580" i="8"/>
  <c r="T592" i="8"/>
  <c r="T80" i="8"/>
  <c r="T524" i="8"/>
  <c r="T29" i="8"/>
  <c r="T41" i="8"/>
  <c r="T53" i="8"/>
  <c r="T65" i="8"/>
  <c r="T77" i="8"/>
  <c r="T89" i="8"/>
  <c r="T101" i="8"/>
  <c r="T113" i="8"/>
  <c r="T125" i="8"/>
  <c r="T137" i="8"/>
  <c r="T149" i="8"/>
  <c r="T161" i="8"/>
  <c r="T173" i="8"/>
  <c r="T185" i="8"/>
  <c r="T197" i="8"/>
  <c r="T209" i="8"/>
  <c r="T221" i="8"/>
  <c r="T233" i="8"/>
  <c r="T245" i="8"/>
  <c r="T257" i="8"/>
  <c r="T269" i="8"/>
  <c r="T281" i="8"/>
  <c r="T293" i="8"/>
  <c r="T305" i="8"/>
  <c r="T317" i="8"/>
  <c r="T329" i="8"/>
  <c r="T341" i="8"/>
  <c r="T353" i="8"/>
  <c r="T365" i="8"/>
  <c r="T377" i="8"/>
  <c r="T389" i="8"/>
  <c r="T401" i="8"/>
  <c r="T413" i="8"/>
  <c r="T425" i="8"/>
  <c r="T437" i="8"/>
  <c r="T449" i="8"/>
  <c r="T461" i="8"/>
  <c r="T473" i="8"/>
  <c r="T485" i="8"/>
  <c r="T497" i="8"/>
  <c r="T509" i="8"/>
  <c r="T521" i="8"/>
  <c r="T533" i="8"/>
  <c r="T545" i="8"/>
  <c r="T557" i="8"/>
  <c r="T569" i="8"/>
  <c r="T581" i="8"/>
  <c r="T593" i="8"/>
  <c r="T56" i="8"/>
  <c r="T176" i="8"/>
  <c r="T260" i="8"/>
  <c r="T344" i="8"/>
  <c r="T416" i="8"/>
  <c r="T488" i="8"/>
  <c r="T560" i="8"/>
  <c r="T30" i="8"/>
  <c r="T42" i="8"/>
  <c r="T54" i="8"/>
  <c r="T66" i="8"/>
  <c r="T78" i="8"/>
  <c r="T90" i="8"/>
  <c r="T102" i="8"/>
  <c r="T114" i="8"/>
  <c r="T126" i="8"/>
  <c r="T138" i="8"/>
  <c r="T150" i="8"/>
  <c r="T162" i="8"/>
  <c r="T174" i="8"/>
  <c r="T186" i="8"/>
  <c r="T198" i="8"/>
  <c r="T210" i="8"/>
  <c r="T222" i="8"/>
  <c r="T234" i="8"/>
  <c r="T246" i="8"/>
  <c r="T258" i="8"/>
  <c r="T270" i="8"/>
  <c r="T282" i="8"/>
  <c r="T294" i="8"/>
  <c r="T306" i="8"/>
  <c r="T318" i="8"/>
  <c r="T330" i="8"/>
  <c r="T342" i="8"/>
  <c r="T354" i="8"/>
  <c r="T366" i="8"/>
  <c r="T378" i="8"/>
  <c r="T390" i="8"/>
  <c r="T402" i="8"/>
  <c r="T414" i="8"/>
  <c r="T426" i="8"/>
  <c r="T438" i="8"/>
  <c r="T450" i="8"/>
  <c r="T462" i="8"/>
  <c r="T474" i="8"/>
  <c r="T486" i="8"/>
  <c r="T498" i="8"/>
  <c r="T510" i="8"/>
  <c r="T522" i="8"/>
  <c r="T534" i="8"/>
  <c r="T546" i="8"/>
  <c r="T558" i="8"/>
  <c r="T570" i="8"/>
  <c r="T582" i="8"/>
  <c r="T594" i="8"/>
  <c r="T44" i="8"/>
  <c r="T104" i="8"/>
  <c r="T128" i="8"/>
  <c r="T212" i="8"/>
  <c r="T248" i="8"/>
  <c r="T296" i="8"/>
  <c r="T356" i="8"/>
  <c r="T452" i="8"/>
  <c r="T512" i="8"/>
  <c r="T572" i="8"/>
  <c r="T31" i="8"/>
  <c r="T43" i="8"/>
  <c r="T55" i="8"/>
  <c r="T67" i="8"/>
  <c r="T79" i="8"/>
  <c r="T91" i="8"/>
  <c r="T103" i="8"/>
  <c r="T115" i="8"/>
  <c r="T127" i="8"/>
  <c r="T139" i="8"/>
  <c r="T151" i="8"/>
  <c r="T163" i="8"/>
  <c r="T175" i="8"/>
  <c r="T187" i="8"/>
  <c r="T199" i="8"/>
  <c r="T211" i="8"/>
  <c r="T223" i="8"/>
  <c r="T235" i="8"/>
  <c r="T247" i="8"/>
  <c r="T259" i="8"/>
  <c r="T271" i="8"/>
  <c r="T283" i="8"/>
  <c r="T295" i="8"/>
  <c r="T307" i="8"/>
  <c r="T319" i="8"/>
  <c r="T331" i="8"/>
  <c r="T343" i="8"/>
  <c r="T355" i="8"/>
  <c r="T367" i="8"/>
  <c r="T379" i="8"/>
  <c r="T391" i="8"/>
  <c r="T403" i="8"/>
  <c r="T415" i="8"/>
  <c r="T427" i="8"/>
  <c r="T439" i="8"/>
  <c r="T451" i="8"/>
  <c r="T463" i="8"/>
  <c r="T475" i="8"/>
  <c r="T487" i="8"/>
  <c r="T499" i="8"/>
  <c r="T511" i="8"/>
  <c r="T523" i="8"/>
  <c r="T535" i="8"/>
  <c r="T547" i="8"/>
  <c r="T559" i="8"/>
  <c r="T571" i="8"/>
  <c r="T583" i="8"/>
  <c r="T595" i="8"/>
  <c r="T32" i="8"/>
  <c r="T116" i="8"/>
  <c r="T200" i="8"/>
  <c r="T272" i="8"/>
  <c r="T320" i="8"/>
  <c r="T368" i="8"/>
  <c r="T404" i="8"/>
  <c r="T428" i="8"/>
  <c r="T476" i="8"/>
  <c r="T536" i="8"/>
  <c r="M346" i="8"/>
  <c r="M340" i="8"/>
  <c r="M345" i="8"/>
  <c r="M339" i="8"/>
  <c r="M344" i="8"/>
  <c r="M338" i="8"/>
  <c r="M349" i="8"/>
  <c r="M343" i="8"/>
  <c r="M347" i="8"/>
  <c r="M348" i="8"/>
  <c r="M342" i="8"/>
  <c r="M341" i="8"/>
  <c r="C31" i="26" l="1"/>
  <c r="G31" i="26" s="1"/>
  <c r="B32" i="26"/>
  <c r="AH54" i="8"/>
  <c r="AG55" i="8"/>
  <c r="AA57" i="8"/>
  <c r="AB56" i="8"/>
  <c r="AH30" i="8"/>
  <c r="AB31" i="8"/>
  <c r="AO12" i="4"/>
  <c r="AO13" i="4"/>
  <c r="AO14"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AO201" i="4"/>
  <c r="AO202" i="4"/>
  <c r="AO203" i="4"/>
  <c r="AO204" i="4"/>
  <c r="AO205" i="4"/>
  <c r="AO206" i="4"/>
  <c r="AO207" i="4"/>
  <c r="AO208" i="4"/>
  <c r="AO209" i="4"/>
  <c r="AO210" i="4"/>
  <c r="AO211" i="4"/>
  <c r="AO212" i="4"/>
  <c r="AO213" i="4"/>
  <c r="AO214" i="4"/>
  <c r="AO215" i="4"/>
  <c r="AO216" i="4"/>
  <c r="AO217" i="4"/>
  <c r="AO218" i="4"/>
  <c r="AO219" i="4"/>
  <c r="AO220" i="4"/>
  <c r="AO221" i="4"/>
  <c r="AO222" i="4"/>
  <c r="AO223" i="4"/>
  <c r="AO224" i="4"/>
  <c r="B33" i="26" l="1"/>
  <c r="C32" i="26"/>
  <c r="G32" i="26" s="1"/>
  <c r="AA58" i="8"/>
  <c r="AB57" i="8"/>
  <c r="AG56" i="8"/>
  <c r="AH55" i="8"/>
  <c r="AH31" i="8"/>
  <c r="AB32" i="8"/>
  <c r="C19" i="8"/>
  <c r="Q19" i="8" s="1"/>
  <c r="G7" i="8"/>
  <c r="C33" i="26" l="1"/>
  <c r="G33" i="26" s="1"/>
  <c r="B34" i="26"/>
  <c r="D21" i="8"/>
  <c r="D33" i="8"/>
  <c r="D45" i="8"/>
  <c r="D57" i="8"/>
  <c r="D69" i="8"/>
  <c r="D81" i="8"/>
  <c r="D93" i="8"/>
  <c r="D105" i="8"/>
  <c r="D117" i="8"/>
  <c r="D129" i="8"/>
  <c r="D141" i="8"/>
  <c r="L141" i="8" s="1"/>
  <c r="D153" i="8"/>
  <c r="L153" i="8" s="1"/>
  <c r="D165" i="8"/>
  <c r="L165" i="8" s="1"/>
  <c r="D177" i="8"/>
  <c r="D189" i="8"/>
  <c r="L189" i="8" s="1"/>
  <c r="D201" i="8"/>
  <c r="L201" i="8" s="1"/>
  <c r="D213" i="8"/>
  <c r="L213" i="8" s="1"/>
  <c r="D225" i="8"/>
  <c r="L225" i="8" s="1"/>
  <c r="D237" i="8"/>
  <c r="L237" i="8" s="1"/>
  <c r="D249" i="8"/>
  <c r="L249" i="8" s="1"/>
  <c r="D261" i="8"/>
  <c r="L261" i="8" s="1"/>
  <c r="D273" i="8"/>
  <c r="L273" i="8" s="1"/>
  <c r="D285" i="8"/>
  <c r="L285" i="8" s="1"/>
  <c r="D297" i="8"/>
  <c r="L297" i="8" s="1"/>
  <c r="D309" i="8"/>
  <c r="L309" i="8" s="1"/>
  <c r="D321" i="8"/>
  <c r="L321" i="8" s="1"/>
  <c r="D333" i="8"/>
  <c r="L333" i="8" s="1"/>
  <c r="D22" i="8"/>
  <c r="D34" i="8"/>
  <c r="D46" i="8"/>
  <c r="D58" i="8"/>
  <c r="D70" i="8"/>
  <c r="D82" i="8"/>
  <c r="D94" i="8"/>
  <c r="D106" i="8"/>
  <c r="D118" i="8"/>
  <c r="D130" i="8"/>
  <c r="D142" i="8"/>
  <c r="L142" i="8" s="1"/>
  <c r="D154" i="8"/>
  <c r="L154" i="8" s="1"/>
  <c r="D166" i="8"/>
  <c r="L166" i="8" s="1"/>
  <c r="D178" i="8"/>
  <c r="L178" i="8" s="1"/>
  <c r="D190" i="8"/>
  <c r="L190" i="8" s="1"/>
  <c r="D202" i="8"/>
  <c r="L202" i="8" s="1"/>
  <c r="D214" i="8"/>
  <c r="L214" i="8" s="1"/>
  <c r="D226" i="8"/>
  <c r="L226" i="8" s="1"/>
  <c r="D238" i="8"/>
  <c r="L238" i="8" s="1"/>
  <c r="D250" i="8"/>
  <c r="L250" i="8" s="1"/>
  <c r="D262" i="8"/>
  <c r="L262" i="8" s="1"/>
  <c r="D274" i="8"/>
  <c r="L274" i="8" s="1"/>
  <c r="D286" i="8"/>
  <c r="L286" i="8" s="1"/>
  <c r="D298" i="8"/>
  <c r="L298" i="8" s="1"/>
  <c r="D310" i="8"/>
  <c r="L310" i="8" s="1"/>
  <c r="D322" i="8"/>
  <c r="L322" i="8" s="1"/>
  <c r="D334" i="8"/>
  <c r="L334" i="8" s="1"/>
  <c r="D41" i="8"/>
  <c r="D137" i="8"/>
  <c r="D209" i="8"/>
  <c r="L209" i="8" s="1"/>
  <c r="D281" i="8"/>
  <c r="L281" i="8" s="1"/>
  <c r="D188" i="8"/>
  <c r="L188" i="8" s="1"/>
  <c r="D23" i="8"/>
  <c r="D35" i="8"/>
  <c r="D47" i="8"/>
  <c r="D59" i="8"/>
  <c r="D71" i="8"/>
  <c r="D83" i="8"/>
  <c r="D95" i="8"/>
  <c r="D107" i="8"/>
  <c r="D119" i="8"/>
  <c r="D131" i="8"/>
  <c r="D143" i="8"/>
  <c r="L143" i="8" s="1"/>
  <c r="D155" i="8"/>
  <c r="L155" i="8" s="1"/>
  <c r="D167" i="8"/>
  <c r="L167" i="8" s="1"/>
  <c r="D179" i="8"/>
  <c r="L179" i="8" s="1"/>
  <c r="D191" i="8"/>
  <c r="L191" i="8" s="1"/>
  <c r="D203" i="8"/>
  <c r="L203" i="8" s="1"/>
  <c r="D215" i="8"/>
  <c r="L215" i="8" s="1"/>
  <c r="D227" i="8"/>
  <c r="L227" i="8" s="1"/>
  <c r="D239" i="8"/>
  <c r="L239" i="8" s="1"/>
  <c r="D251" i="8"/>
  <c r="L251" i="8" s="1"/>
  <c r="D263" i="8"/>
  <c r="L263" i="8" s="1"/>
  <c r="D275" i="8"/>
  <c r="L275" i="8" s="1"/>
  <c r="D287" i="8"/>
  <c r="L287" i="8" s="1"/>
  <c r="D299" i="8"/>
  <c r="L299" i="8" s="1"/>
  <c r="D311" i="8"/>
  <c r="L311" i="8" s="1"/>
  <c r="D323" i="8"/>
  <c r="L323" i="8" s="1"/>
  <c r="D335" i="8"/>
  <c r="L335" i="8" s="1"/>
  <c r="D53" i="8"/>
  <c r="D113" i="8"/>
  <c r="D149" i="8"/>
  <c r="L149" i="8" s="1"/>
  <c r="D233" i="8"/>
  <c r="L233" i="8" s="1"/>
  <c r="D305" i="8"/>
  <c r="L305" i="8" s="1"/>
  <c r="D236" i="8"/>
  <c r="L236" i="8" s="1"/>
  <c r="D24" i="8"/>
  <c r="D36" i="8"/>
  <c r="D48" i="8"/>
  <c r="D60" i="8"/>
  <c r="D72" i="8"/>
  <c r="D84" i="8"/>
  <c r="D96" i="8"/>
  <c r="D108" i="8"/>
  <c r="D120" i="8"/>
  <c r="D132" i="8"/>
  <c r="D144" i="8"/>
  <c r="L144" i="8" s="1"/>
  <c r="D156" i="8"/>
  <c r="L156" i="8" s="1"/>
  <c r="D168" i="8"/>
  <c r="L168" i="8" s="1"/>
  <c r="D180" i="8"/>
  <c r="L180" i="8" s="1"/>
  <c r="D192" i="8"/>
  <c r="L192" i="8" s="1"/>
  <c r="D204" i="8"/>
  <c r="L204" i="8" s="1"/>
  <c r="D216" i="8"/>
  <c r="L216" i="8" s="1"/>
  <c r="D228" i="8"/>
  <c r="L228" i="8" s="1"/>
  <c r="D240" i="8"/>
  <c r="L240" i="8" s="1"/>
  <c r="D252" i="8"/>
  <c r="L252" i="8" s="1"/>
  <c r="D264" i="8"/>
  <c r="L264" i="8" s="1"/>
  <c r="D276" i="8"/>
  <c r="L276" i="8" s="1"/>
  <c r="D288" i="8"/>
  <c r="L288" i="8" s="1"/>
  <c r="D300" i="8"/>
  <c r="L300" i="8" s="1"/>
  <c r="D312" i="8"/>
  <c r="L312" i="8" s="1"/>
  <c r="D324" i="8"/>
  <c r="L324" i="8" s="1"/>
  <c r="D336" i="8"/>
  <c r="L336" i="8" s="1"/>
  <c r="D29" i="8"/>
  <c r="D125" i="8"/>
  <c r="D185" i="8"/>
  <c r="L185" i="8" s="1"/>
  <c r="D269" i="8"/>
  <c r="L269" i="8" s="1"/>
  <c r="D308" i="8"/>
  <c r="L308" i="8" s="1"/>
  <c r="D25" i="8"/>
  <c r="D37" i="8"/>
  <c r="D49" i="8"/>
  <c r="D61" i="8"/>
  <c r="D73" i="8"/>
  <c r="D85" i="8"/>
  <c r="D97" i="8"/>
  <c r="D109" i="8"/>
  <c r="D121" i="8"/>
  <c r="D133" i="8"/>
  <c r="D145" i="8"/>
  <c r="L145" i="8" s="1"/>
  <c r="D157" i="8"/>
  <c r="L157" i="8" s="1"/>
  <c r="D169" i="8"/>
  <c r="L169" i="8" s="1"/>
  <c r="D181" i="8"/>
  <c r="L181" i="8" s="1"/>
  <c r="D193" i="8"/>
  <c r="L193" i="8" s="1"/>
  <c r="D205" i="8"/>
  <c r="L205" i="8" s="1"/>
  <c r="D217" i="8"/>
  <c r="L217" i="8" s="1"/>
  <c r="D229" i="8"/>
  <c r="L229" i="8" s="1"/>
  <c r="D241" i="8"/>
  <c r="L241" i="8" s="1"/>
  <c r="D253" i="8"/>
  <c r="L253" i="8" s="1"/>
  <c r="D265" i="8"/>
  <c r="L265" i="8" s="1"/>
  <c r="D277" i="8"/>
  <c r="L277" i="8" s="1"/>
  <c r="D289" i="8"/>
  <c r="L289" i="8" s="1"/>
  <c r="D301" i="8"/>
  <c r="L301" i="8" s="1"/>
  <c r="D313" i="8"/>
  <c r="L313" i="8" s="1"/>
  <c r="D325" i="8"/>
  <c r="L325" i="8" s="1"/>
  <c r="D337" i="8"/>
  <c r="L337" i="8" s="1"/>
  <c r="D77" i="8"/>
  <c r="D161" i="8"/>
  <c r="L161" i="8" s="1"/>
  <c r="D197" i="8"/>
  <c r="L197" i="8" s="1"/>
  <c r="D293" i="8"/>
  <c r="L293" i="8" s="1"/>
  <c r="D224" i="8"/>
  <c r="L224" i="8" s="1"/>
  <c r="D26" i="8"/>
  <c r="D38" i="8"/>
  <c r="D50" i="8"/>
  <c r="D62" i="8"/>
  <c r="D74" i="8"/>
  <c r="D86" i="8"/>
  <c r="D98" i="8"/>
  <c r="D110" i="8"/>
  <c r="D122" i="8"/>
  <c r="D134" i="8"/>
  <c r="D146" i="8"/>
  <c r="L146" i="8" s="1"/>
  <c r="D158" i="8"/>
  <c r="L158" i="8" s="1"/>
  <c r="D170" i="8"/>
  <c r="L170" i="8" s="1"/>
  <c r="D182" i="8"/>
  <c r="L182" i="8" s="1"/>
  <c r="D194" i="8"/>
  <c r="L194" i="8" s="1"/>
  <c r="D206" i="8"/>
  <c r="L206" i="8" s="1"/>
  <c r="D218" i="8"/>
  <c r="L218" i="8" s="1"/>
  <c r="D230" i="8"/>
  <c r="L230" i="8" s="1"/>
  <c r="D242" i="8"/>
  <c r="L242" i="8" s="1"/>
  <c r="D254" i="8"/>
  <c r="L254" i="8" s="1"/>
  <c r="D266" i="8"/>
  <c r="L266" i="8" s="1"/>
  <c r="D278" i="8"/>
  <c r="L278" i="8" s="1"/>
  <c r="D290" i="8"/>
  <c r="L290" i="8" s="1"/>
  <c r="D302" i="8"/>
  <c r="L302" i="8" s="1"/>
  <c r="D314" i="8"/>
  <c r="L314" i="8" s="1"/>
  <c r="D326" i="8"/>
  <c r="L326" i="8" s="1"/>
  <c r="D65" i="8"/>
  <c r="D173" i="8"/>
  <c r="L173" i="8" s="1"/>
  <c r="D245" i="8"/>
  <c r="L245" i="8" s="1"/>
  <c r="D317" i="8"/>
  <c r="L317" i="8" s="1"/>
  <c r="D248" i="8"/>
  <c r="L248" i="8" s="1"/>
  <c r="D27" i="8"/>
  <c r="D39" i="8"/>
  <c r="D51" i="8"/>
  <c r="D63" i="8"/>
  <c r="D75" i="8"/>
  <c r="D87" i="8"/>
  <c r="D99" i="8"/>
  <c r="D111" i="8"/>
  <c r="D123" i="8"/>
  <c r="D135" i="8"/>
  <c r="D147" i="8"/>
  <c r="L147" i="8" s="1"/>
  <c r="D159" i="8"/>
  <c r="L159" i="8" s="1"/>
  <c r="D171" i="8"/>
  <c r="L171" i="8" s="1"/>
  <c r="D183" i="8"/>
  <c r="L183" i="8" s="1"/>
  <c r="D195" i="8"/>
  <c r="L195" i="8" s="1"/>
  <c r="D207" i="8"/>
  <c r="L207" i="8" s="1"/>
  <c r="D219" i="8"/>
  <c r="L219" i="8" s="1"/>
  <c r="D231" i="8"/>
  <c r="L231" i="8" s="1"/>
  <c r="D243" i="8"/>
  <c r="L243" i="8" s="1"/>
  <c r="D255" i="8"/>
  <c r="L255" i="8" s="1"/>
  <c r="D267" i="8"/>
  <c r="L267" i="8" s="1"/>
  <c r="D279" i="8"/>
  <c r="L279" i="8" s="1"/>
  <c r="D291" i="8"/>
  <c r="L291" i="8" s="1"/>
  <c r="D303" i="8"/>
  <c r="L303" i="8" s="1"/>
  <c r="D315" i="8"/>
  <c r="L315" i="8" s="1"/>
  <c r="D327" i="8"/>
  <c r="L327" i="8" s="1"/>
  <c r="D101" i="8"/>
  <c r="D221" i="8"/>
  <c r="L221" i="8" s="1"/>
  <c r="D329" i="8"/>
  <c r="L329" i="8" s="1"/>
  <c r="D296" i="8"/>
  <c r="L296" i="8" s="1"/>
  <c r="D28" i="8"/>
  <c r="D40" i="8"/>
  <c r="D52" i="8"/>
  <c r="D64" i="8"/>
  <c r="D76" i="8"/>
  <c r="D88" i="8"/>
  <c r="D100" i="8"/>
  <c r="D112" i="8"/>
  <c r="D124" i="8"/>
  <c r="D136" i="8"/>
  <c r="D148" i="8"/>
  <c r="L148" i="8" s="1"/>
  <c r="D160" i="8"/>
  <c r="L160" i="8" s="1"/>
  <c r="D172" i="8"/>
  <c r="L172" i="8" s="1"/>
  <c r="D184" i="8"/>
  <c r="L184" i="8" s="1"/>
  <c r="D196" i="8"/>
  <c r="L196" i="8" s="1"/>
  <c r="D208" i="8"/>
  <c r="L208" i="8" s="1"/>
  <c r="D220" i="8"/>
  <c r="L220" i="8" s="1"/>
  <c r="D232" i="8"/>
  <c r="L232" i="8" s="1"/>
  <c r="D244" i="8"/>
  <c r="L244" i="8" s="1"/>
  <c r="D256" i="8"/>
  <c r="L256" i="8" s="1"/>
  <c r="D268" i="8"/>
  <c r="L268" i="8" s="1"/>
  <c r="D280" i="8"/>
  <c r="L280" i="8" s="1"/>
  <c r="D292" i="8"/>
  <c r="L292" i="8" s="1"/>
  <c r="D304" i="8"/>
  <c r="L304" i="8" s="1"/>
  <c r="D316" i="8"/>
  <c r="L316" i="8" s="1"/>
  <c r="D328" i="8"/>
  <c r="L328" i="8" s="1"/>
  <c r="D89" i="8"/>
  <c r="D257" i="8"/>
  <c r="L257" i="8" s="1"/>
  <c r="D212" i="8"/>
  <c r="L212" i="8" s="1"/>
  <c r="D30" i="8"/>
  <c r="D42" i="8"/>
  <c r="D54" i="8"/>
  <c r="D66" i="8"/>
  <c r="D78" i="8"/>
  <c r="D90" i="8"/>
  <c r="D102" i="8"/>
  <c r="D114" i="8"/>
  <c r="D126" i="8"/>
  <c r="D138" i="8"/>
  <c r="D150" i="8"/>
  <c r="L150" i="8" s="1"/>
  <c r="D162" i="8"/>
  <c r="L162" i="8" s="1"/>
  <c r="D174" i="8"/>
  <c r="L174" i="8" s="1"/>
  <c r="D186" i="8"/>
  <c r="L186" i="8" s="1"/>
  <c r="D198" i="8"/>
  <c r="L198" i="8" s="1"/>
  <c r="D210" i="8"/>
  <c r="L210" i="8" s="1"/>
  <c r="D222" i="8"/>
  <c r="L222" i="8" s="1"/>
  <c r="D234" i="8"/>
  <c r="L234" i="8" s="1"/>
  <c r="D246" i="8"/>
  <c r="L246" i="8" s="1"/>
  <c r="D258" i="8"/>
  <c r="L258" i="8" s="1"/>
  <c r="D270" i="8"/>
  <c r="L270" i="8" s="1"/>
  <c r="D282" i="8"/>
  <c r="L282" i="8" s="1"/>
  <c r="D294" i="8"/>
  <c r="L294" i="8" s="1"/>
  <c r="D306" i="8"/>
  <c r="L306" i="8" s="1"/>
  <c r="D318" i="8"/>
  <c r="L318" i="8" s="1"/>
  <c r="D330" i="8"/>
  <c r="L330" i="8" s="1"/>
  <c r="D56" i="8"/>
  <c r="D152" i="8"/>
  <c r="L152" i="8" s="1"/>
  <c r="D200" i="8"/>
  <c r="L200" i="8" s="1"/>
  <c r="D284" i="8"/>
  <c r="L284" i="8" s="1"/>
  <c r="D332" i="8"/>
  <c r="L332" i="8" s="1"/>
  <c r="D31" i="8"/>
  <c r="D43" i="8"/>
  <c r="D55" i="8"/>
  <c r="D67" i="8"/>
  <c r="D79" i="8"/>
  <c r="D91" i="8"/>
  <c r="D103" i="8"/>
  <c r="D115" i="8"/>
  <c r="D127" i="8"/>
  <c r="D139" i="8"/>
  <c r="L139" i="8" s="1"/>
  <c r="D151" i="8"/>
  <c r="L151" i="8" s="1"/>
  <c r="D163" i="8"/>
  <c r="L163" i="8" s="1"/>
  <c r="D175" i="8"/>
  <c r="L175" i="8" s="1"/>
  <c r="D187" i="8"/>
  <c r="L187" i="8" s="1"/>
  <c r="D199" i="8"/>
  <c r="L199" i="8" s="1"/>
  <c r="D211" i="8"/>
  <c r="L211" i="8" s="1"/>
  <c r="D223" i="8"/>
  <c r="L223" i="8" s="1"/>
  <c r="D235" i="8"/>
  <c r="L235" i="8" s="1"/>
  <c r="D247" i="8"/>
  <c r="L247" i="8" s="1"/>
  <c r="D259" i="8"/>
  <c r="L259" i="8" s="1"/>
  <c r="D271" i="8"/>
  <c r="L271" i="8" s="1"/>
  <c r="D283" i="8"/>
  <c r="L283" i="8" s="1"/>
  <c r="D295" i="8"/>
  <c r="L295" i="8" s="1"/>
  <c r="D307" i="8"/>
  <c r="L307" i="8" s="1"/>
  <c r="D319" i="8"/>
  <c r="L319" i="8" s="1"/>
  <c r="D331" i="8"/>
  <c r="L331" i="8" s="1"/>
  <c r="D68" i="8"/>
  <c r="D164" i="8"/>
  <c r="L164" i="8" s="1"/>
  <c r="D260" i="8"/>
  <c r="L260" i="8" s="1"/>
  <c r="D320" i="8"/>
  <c r="L320" i="8" s="1"/>
  <c r="D32" i="8"/>
  <c r="D44" i="8"/>
  <c r="D80" i="8"/>
  <c r="D92" i="8"/>
  <c r="D104" i="8"/>
  <c r="D116" i="8"/>
  <c r="D128" i="8"/>
  <c r="D140" i="8"/>
  <c r="L140" i="8" s="1"/>
  <c r="D176" i="8"/>
  <c r="L176" i="8" s="1"/>
  <c r="D272" i="8"/>
  <c r="L272" i="8" s="1"/>
  <c r="D19" i="8"/>
  <c r="D20" i="8"/>
  <c r="AG57" i="8"/>
  <c r="AH56" i="8"/>
  <c r="AA59" i="8"/>
  <c r="AB58" i="8"/>
  <c r="B338" i="8"/>
  <c r="D338" i="8" s="1"/>
  <c r="N205" i="8"/>
  <c r="N267" i="8"/>
  <c r="N244" i="8"/>
  <c r="N233" i="8"/>
  <c r="N210" i="8"/>
  <c r="N235" i="8"/>
  <c r="N236" i="8"/>
  <c r="N285" i="8"/>
  <c r="N336" i="8"/>
  <c r="N310" i="8"/>
  <c r="N275" i="8"/>
  <c r="N217" i="8"/>
  <c r="N279" i="8"/>
  <c r="N256" i="8"/>
  <c r="N245" i="8"/>
  <c r="N222" i="8"/>
  <c r="N247" i="8"/>
  <c r="N248" i="8"/>
  <c r="N297" i="8"/>
  <c r="N322" i="8"/>
  <c r="N287" i="8"/>
  <c r="N229" i="8"/>
  <c r="N291" i="8"/>
  <c r="N268" i="8"/>
  <c r="N257" i="8"/>
  <c r="N234" i="8"/>
  <c r="N315" i="8"/>
  <c r="N259" i="8"/>
  <c r="N260" i="8"/>
  <c r="N309" i="8"/>
  <c r="N334" i="8"/>
  <c r="N299" i="8"/>
  <c r="N220" i="8"/>
  <c r="N241" i="8"/>
  <c r="N303" i="8"/>
  <c r="N280" i="8"/>
  <c r="N269" i="8"/>
  <c r="N246" i="8"/>
  <c r="N218" i="8"/>
  <c r="N271" i="8"/>
  <c r="N272" i="8"/>
  <c r="N321" i="8"/>
  <c r="N311" i="8"/>
  <c r="N209" i="8"/>
  <c r="N253" i="8"/>
  <c r="N292" i="8"/>
  <c r="N281" i="8"/>
  <c r="N258" i="8"/>
  <c r="N242" i="8"/>
  <c r="N283" i="8"/>
  <c r="N284" i="8"/>
  <c r="N333" i="8"/>
  <c r="N214" i="8"/>
  <c r="N323" i="8"/>
  <c r="N265" i="8"/>
  <c r="N304" i="8"/>
  <c r="N293" i="8"/>
  <c r="N270" i="8"/>
  <c r="N266" i="8"/>
  <c r="N295" i="8"/>
  <c r="N296" i="8"/>
  <c r="N226" i="8"/>
  <c r="N335" i="8"/>
  <c r="N330" i="8"/>
  <c r="N277" i="8"/>
  <c r="N316" i="8"/>
  <c r="N305" i="8"/>
  <c r="N282" i="8"/>
  <c r="N314" i="8"/>
  <c r="N307" i="8"/>
  <c r="N308" i="8"/>
  <c r="N213" i="8"/>
  <c r="N238" i="8"/>
  <c r="N278" i="8"/>
  <c r="N240" i="8"/>
  <c r="N289" i="8"/>
  <c r="N207" i="8"/>
  <c r="N328" i="8"/>
  <c r="N317" i="8"/>
  <c r="N294" i="8"/>
  <c r="N319" i="8"/>
  <c r="N320" i="8"/>
  <c r="N225" i="8"/>
  <c r="N206" i="8"/>
  <c r="N250" i="8"/>
  <c r="N215" i="8"/>
  <c r="N288" i="8"/>
  <c r="N243" i="8"/>
  <c r="N301" i="8"/>
  <c r="N219" i="8"/>
  <c r="N329" i="8"/>
  <c r="N306" i="8"/>
  <c r="N331" i="8"/>
  <c r="N332" i="8"/>
  <c r="N237" i="8"/>
  <c r="N254" i="8"/>
  <c r="N262" i="8"/>
  <c r="N227" i="8"/>
  <c r="N324" i="8"/>
  <c r="N276" i="8"/>
  <c r="N251" i="8"/>
  <c r="N313" i="8"/>
  <c r="N231" i="8"/>
  <c r="N208" i="8"/>
  <c r="N318" i="8"/>
  <c r="N252" i="8"/>
  <c r="N249" i="8"/>
  <c r="N228" i="8"/>
  <c r="N290" i="8"/>
  <c r="N274" i="8"/>
  <c r="N216" i="8"/>
  <c r="N239" i="8"/>
  <c r="N325" i="8"/>
  <c r="N211" i="8"/>
  <c r="N212" i="8"/>
  <c r="N261" i="8"/>
  <c r="N302" i="8"/>
  <c r="N286" i="8"/>
  <c r="N264" i="8"/>
  <c r="N337" i="8"/>
  <c r="N230" i="8"/>
  <c r="N255" i="8"/>
  <c r="N232" i="8"/>
  <c r="N221" i="8"/>
  <c r="N223" i="8"/>
  <c r="N224" i="8"/>
  <c r="N273" i="8"/>
  <c r="N312" i="8"/>
  <c r="N326" i="8"/>
  <c r="N298" i="8"/>
  <c r="N300" i="8"/>
  <c r="N327" i="8"/>
  <c r="N263" i="8"/>
  <c r="L177" i="8"/>
  <c r="P21" i="8"/>
  <c r="AH32" i="8"/>
  <c r="AB33" i="8"/>
  <c r="M280" i="8"/>
  <c r="M208" i="8"/>
  <c r="M136" i="8"/>
  <c r="M64" i="8"/>
  <c r="M233" i="8"/>
  <c r="M303" i="8"/>
  <c r="M231" i="8"/>
  <c r="M159" i="8"/>
  <c r="M87" i="8"/>
  <c r="M323" i="8"/>
  <c r="M308" i="8"/>
  <c r="M236" i="8"/>
  <c r="M164" i="8"/>
  <c r="M92" i="8"/>
  <c r="M20" i="8"/>
  <c r="M325" i="8"/>
  <c r="M253" i="8"/>
  <c r="M181" i="8"/>
  <c r="M109" i="8"/>
  <c r="M37" i="8"/>
  <c r="M336" i="8"/>
  <c r="M264" i="8"/>
  <c r="M192" i="8"/>
  <c r="M120" i="8"/>
  <c r="M48" i="8"/>
  <c r="M77" i="8"/>
  <c r="M82" i="8"/>
  <c r="M271" i="8"/>
  <c r="M191" i="8"/>
  <c r="M148" i="8"/>
  <c r="M176" i="8"/>
  <c r="M49" i="8"/>
  <c r="M274" i="8"/>
  <c r="M202" i="8"/>
  <c r="M130" i="8"/>
  <c r="M58" i="8"/>
  <c r="M197" i="8"/>
  <c r="M297" i="8"/>
  <c r="M225" i="8"/>
  <c r="M153" i="8"/>
  <c r="M81" i="8"/>
  <c r="M287" i="8"/>
  <c r="M302" i="8"/>
  <c r="M230" i="8"/>
  <c r="M158" i="8"/>
  <c r="M86" i="8"/>
  <c r="M329" i="8"/>
  <c r="M319" i="8"/>
  <c r="M247" i="8"/>
  <c r="M175" i="8"/>
  <c r="M103" i="8"/>
  <c r="M31" i="8"/>
  <c r="M330" i="8"/>
  <c r="M258" i="8"/>
  <c r="M186" i="8"/>
  <c r="M114" i="8"/>
  <c r="M42" i="8"/>
  <c r="M35" i="8"/>
  <c r="M226" i="8"/>
  <c r="M38" i="8"/>
  <c r="M101" i="8"/>
  <c r="M155" i="8"/>
  <c r="M268" i="8"/>
  <c r="M196" i="8"/>
  <c r="M124" i="8"/>
  <c r="M52" i="8"/>
  <c r="M161" i="8"/>
  <c r="M291" i="8"/>
  <c r="M219" i="8"/>
  <c r="M147" i="8"/>
  <c r="M75" i="8"/>
  <c r="M251" i="8"/>
  <c r="M296" i="8"/>
  <c r="M224" i="8"/>
  <c r="M152" i="8"/>
  <c r="M80" i="8"/>
  <c r="M281" i="8"/>
  <c r="M313" i="8"/>
  <c r="M241" i="8"/>
  <c r="M169" i="8"/>
  <c r="M97" i="8"/>
  <c r="M25" i="8"/>
  <c r="M324" i="8"/>
  <c r="M252" i="8"/>
  <c r="M180" i="8"/>
  <c r="M108" i="8"/>
  <c r="M36" i="8"/>
  <c r="M305" i="8"/>
  <c r="M311" i="8"/>
  <c r="M33" i="8"/>
  <c r="M254" i="8"/>
  <c r="M127" i="8"/>
  <c r="M138" i="8"/>
  <c r="M99" i="8"/>
  <c r="M320" i="8"/>
  <c r="M193" i="8"/>
  <c r="M60" i="8"/>
  <c r="M334" i="8"/>
  <c r="M262" i="8"/>
  <c r="M190" i="8"/>
  <c r="M118" i="8"/>
  <c r="M46" i="8"/>
  <c r="M125" i="8"/>
  <c r="M285" i="8"/>
  <c r="M213" i="8"/>
  <c r="M141" i="8"/>
  <c r="M69" i="8"/>
  <c r="M221" i="8"/>
  <c r="M290" i="8"/>
  <c r="M218" i="8"/>
  <c r="M146" i="8"/>
  <c r="M74" i="8"/>
  <c r="M239" i="8"/>
  <c r="M307" i="8"/>
  <c r="M235" i="8"/>
  <c r="M163" i="8"/>
  <c r="M91" i="8"/>
  <c r="M317" i="8"/>
  <c r="M318" i="8"/>
  <c r="M246" i="8"/>
  <c r="M174" i="8"/>
  <c r="M102" i="8"/>
  <c r="M30" i="8"/>
  <c r="M257" i="8"/>
  <c r="M154" i="8"/>
  <c r="M47" i="8"/>
  <c r="M66" i="8"/>
  <c r="M76" i="8"/>
  <c r="M104" i="8"/>
  <c r="M121" i="8"/>
  <c r="M328" i="8"/>
  <c r="M256" i="8"/>
  <c r="M184" i="8"/>
  <c r="M112" i="8"/>
  <c r="M40" i="8"/>
  <c r="M95" i="8"/>
  <c r="M279" i="8"/>
  <c r="M207" i="8"/>
  <c r="M135" i="8"/>
  <c r="M63" i="8"/>
  <c r="M185" i="8"/>
  <c r="M284" i="8"/>
  <c r="M212" i="8"/>
  <c r="M140" i="8"/>
  <c r="M68" i="8"/>
  <c r="M203" i="8"/>
  <c r="M301" i="8"/>
  <c r="M229" i="8"/>
  <c r="M157" i="8"/>
  <c r="M85" i="8"/>
  <c r="M275" i="8"/>
  <c r="M312" i="8"/>
  <c r="M240" i="8"/>
  <c r="M168" i="8"/>
  <c r="M96" i="8"/>
  <c r="M24" i="8"/>
  <c r="M215" i="8"/>
  <c r="M110" i="8"/>
  <c r="M282" i="8"/>
  <c r="M171" i="8"/>
  <c r="M204" i="8"/>
  <c r="M322" i="8"/>
  <c r="M250" i="8"/>
  <c r="M178" i="8"/>
  <c r="M106" i="8"/>
  <c r="M34" i="8"/>
  <c r="M59" i="8"/>
  <c r="M273" i="8"/>
  <c r="M201" i="8"/>
  <c r="M129" i="8"/>
  <c r="M57" i="8"/>
  <c r="M131" i="8"/>
  <c r="M278" i="8"/>
  <c r="M206" i="8"/>
  <c r="M134" i="8"/>
  <c r="M62" i="8"/>
  <c r="M173" i="8"/>
  <c r="M295" i="8"/>
  <c r="M223" i="8"/>
  <c r="M151" i="8"/>
  <c r="M79" i="8"/>
  <c r="M245" i="8"/>
  <c r="M306" i="8"/>
  <c r="M234" i="8"/>
  <c r="M162" i="8"/>
  <c r="M90" i="8"/>
  <c r="M19" i="8"/>
  <c r="M179" i="8"/>
  <c r="M249" i="8"/>
  <c r="M182" i="8"/>
  <c r="M55" i="8"/>
  <c r="M315" i="8"/>
  <c r="M32" i="8"/>
  <c r="M276" i="8"/>
  <c r="M316" i="8"/>
  <c r="M244" i="8"/>
  <c r="M172" i="8"/>
  <c r="M100" i="8"/>
  <c r="M28" i="8"/>
  <c r="M23" i="8"/>
  <c r="M267" i="8"/>
  <c r="M195" i="8"/>
  <c r="M123" i="8"/>
  <c r="M51" i="8"/>
  <c r="M89" i="8"/>
  <c r="M272" i="8"/>
  <c r="M200" i="8"/>
  <c r="M128" i="8"/>
  <c r="M56" i="8"/>
  <c r="M149" i="8"/>
  <c r="M289" i="8"/>
  <c r="M217" i="8"/>
  <c r="M145" i="8"/>
  <c r="M73" i="8"/>
  <c r="M209" i="8"/>
  <c r="M300" i="8"/>
  <c r="M228" i="8"/>
  <c r="M156" i="8"/>
  <c r="M84" i="8"/>
  <c r="M299" i="8"/>
  <c r="M143" i="8"/>
  <c r="M298" i="8"/>
  <c r="M41" i="8"/>
  <c r="M243" i="8"/>
  <c r="M310" i="8"/>
  <c r="M238" i="8"/>
  <c r="M166" i="8"/>
  <c r="M94" i="8"/>
  <c r="M22" i="8"/>
  <c r="M333" i="8"/>
  <c r="M261" i="8"/>
  <c r="M189" i="8"/>
  <c r="M117" i="8"/>
  <c r="M45" i="8"/>
  <c r="M53" i="8"/>
  <c r="M266" i="8"/>
  <c r="M194" i="8"/>
  <c r="M122" i="8"/>
  <c r="M50" i="8"/>
  <c r="M113" i="8"/>
  <c r="M283" i="8"/>
  <c r="M211" i="8"/>
  <c r="M139" i="8"/>
  <c r="M67" i="8"/>
  <c r="M167" i="8"/>
  <c r="M294" i="8"/>
  <c r="M222" i="8"/>
  <c r="M150" i="8"/>
  <c r="M78" i="8"/>
  <c r="M269" i="8"/>
  <c r="M107" i="8"/>
  <c r="M177" i="8"/>
  <c r="M220" i="8"/>
  <c r="M304" i="8"/>
  <c r="M232" i="8"/>
  <c r="M160" i="8"/>
  <c r="M88" i="8"/>
  <c r="M335" i="8"/>
  <c r="M327" i="8"/>
  <c r="M255" i="8"/>
  <c r="M183" i="8"/>
  <c r="M111" i="8"/>
  <c r="M39" i="8"/>
  <c r="M332" i="8"/>
  <c r="M260" i="8"/>
  <c r="M188" i="8"/>
  <c r="M116" i="8"/>
  <c r="M44" i="8"/>
  <c r="M83" i="8"/>
  <c r="M277" i="8"/>
  <c r="M205" i="8"/>
  <c r="M133" i="8"/>
  <c r="M61" i="8"/>
  <c r="M137" i="8"/>
  <c r="M288" i="8"/>
  <c r="M216" i="8"/>
  <c r="M144" i="8"/>
  <c r="M72" i="8"/>
  <c r="M227" i="8"/>
  <c r="M71" i="8"/>
  <c r="M321" i="8"/>
  <c r="M105" i="8"/>
  <c r="M326" i="8"/>
  <c r="M199" i="8"/>
  <c r="M210" i="8"/>
  <c r="M292" i="8"/>
  <c r="M27" i="8"/>
  <c r="M248" i="8"/>
  <c r="M265" i="8"/>
  <c r="M65" i="8"/>
  <c r="M286" i="8"/>
  <c r="M214" i="8"/>
  <c r="M142" i="8"/>
  <c r="M70" i="8"/>
  <c r="M263" i="8"/>
  <c r="M309" i="8"/>
  <c r="M237" i="8"/>
  <c r="M165" i="8"/>
  <c r="M93" i="8"/>
  <c r="M21" i="8"/>
  <c r="M314" i="8"/>
  <c r="M242" i="8"/>
  <c r="M170" i="8"/>
  <c r="M98" i="8"/>
  <c r="M26" i="8"/>
  <c r="M331" i="8"/>
  <c r="M259" i="8"/>
  <c r="M187" i="8"/>
  <c r="M115" i="8"/>
  <c r="M43" i="8"/>
  <c r="M29" i="8"/>
  <c r="M270" i="8"/>
  <c r="M198" i="8"/>
  <c r="M126" i="8"/>
  <c r="M54" i="8"/>
  <c r="M119" i="8"/>
  <c r="M293" i="8"/>
  <c r="M337" i="8"/>
  <c r="M132" i="8"/>
  <c r="N61" i="8"/>
  <c r="N156" i="8"/>
  <c r="N119" i="8"/>
  <c r="N38" i="8"/>
  <c r="N70" i="8"/>
  <c r="N177" i="8"/>
  <c r="N33" i="8"/>
  <c r="N140" i="8"/>
  <c r="N199" i="8"/>
  <c r="N55" i="8"/>
  <c r="N41" i="8"/>
  <c r="N102" i="8"/>
  <c r="N197" i="8"/>
  <c r="N160" i="8"/>
  <c r="N195" i="8"/>
  <c r="N51" i="8"/>
  <c r="N36" i="8"/>
  <c r="N101" i="8"/>
  <c r="N193" i="8"/>
  <c r="N49" i="8"/>
  <c r="N144" i="8"/>
  <c r="N107" i="8"/>
  <c r="N202" i="8"/>
  <c r="N58" i="8"/>
  <c r="N165" i="8"/>
  <c r="N21" i="8"/>
  <c r="N128" i="8"/>
  <c r="N187" i="8"/>
  <c r="N43" i="8"/>
  <c r="N90" i="8"/>
  <c r="N149" i="8"/>
  <c r="N148" i="8"/>
  <c r="N183" i="8"/>
  <c r="N39" i="8"/>
  <c r="N48" i="8"/>
  <c r="N69" i="8"/>
  <c r="N125" i="8"/>
  <c r="N20" i="8"/>
  <c r="N181" i="8"/>
  <c r="N37" i="8"/>
  <c r="N132" i="8"/>
  <c r="N95" i="8"/>
  <c r="N190" i="8"/>
  <c r="N46" i="8"/>
  <c r="N153" i="8"/>
  <c r="N116" i="8"/>
  <c r="N175" i="8"/>
  <c r="N31" i="8"/>
  <c r="N182" i="8"/>
  <c r="N78" i="8"/>
  <c r="N137" i="8"/>
  <c r="N136" i="8"/>
  <c r="N171" i="8"/>
  <c r="N27" i="8"/>
  <c r="N91" i="8"/>
  <c r="N196" i="8"/>
  <c r="N169" i="8"/>
  <c r="N25" i="8"/>
  <c r="N120" i="8"/>
  <c r="N134" i="8"/>
  <c r="N83" i="8"/>
  <c r="N178" i="8"/>
  <c r="N34" i="8"/>
  <c r="N141" i="8"/>
  <c r="N104" i="8"/>
  <c r="N163" i="8"/>
  <c r="N19" i="8"/>
  <c r="N98" i="8"/>
  <c r="N66" i="8"/>
  <c r="N113" i="8"/>
  <c r="N124" i="8"/>
  <c r="N159" i="8"/>
  <c r="N97" i="8"/>
  <c r="N164" i="8"/>
  <c r="N75" i="8"/>
  <c r="N157" i="8"/>
  <c r="N185" i="8"/>
  <c r="N108" i="8"/>
  <c r="N74" i="8"/>
  <c r="N71" i="8"/>
  <c r="N166" i="8"/>
  <c r="N22" i="8"/>
  <c r="N129" i="8"/>
  <c r="N92" i="8"/>
  <c r="N151" i="8"/>
  <c r="N198" i="8"/>
  <c r="N54" i="8"/>
  <c r="N89" i="8"/>
  <c r="N112" i="8"/>
  <c r="N147" i="8"/>
  <c r="N155" i="8"/>
  <c r="N106" i="8"/>
  <c r="N52" i="8"/>
  <c r="N143" i="8"/>
  <c r="N126" i="8"/>
  <c r="N145" i="8"/>
  <c r="N96" i="8"/>
  <c r="N203" i="8"/>
  <c r="N59" i="8"/>
  <c r="N154" i="8"/>
  <c r="N117" i="8"/>
  <c r="N122" i="8"/>
  <c r="N80" i="8"/>
  <c r="N139" i="8"/>
  <c r="N186" i="8"/>
  <c r="N42" i="8"/>
  <c r="N77" i="8"/>
  <c r="N100" i="8"/>
  <c r="N135" i="8"/>
  <c r="N146" i="8"/>
  <c r="N201" i="8"/>
  <c r="N133" i="8"/>
  <c r="N170" i="8"/>
  <c r="N84" i="8"/>
  <c r="N191" i="8"/>
  <c r="N47" i="8"/>
  <c r="N142" i="8"/>
  <c r="N105" i="8"/>
  <c r="N50" i="8"/>
  <c r="N68" i="8"/>
  <c r="N127" i="8"/>
  <c r="N174" i="8"/>
  <c r="N30" i="8"/>
  <c r="N53" i="8"/>
  <c r="N88" i="8"/>
  <c r="N123" i="8"/>
  <c r="N62" i="8"/>
  <c r="N192" i="8"/>
  <c r="N173" i="8"/>
  <c r="N26" i="8"/>
  <c r="N176" i="8"/>
  <c r="N138" i="8"/>
  <c r="N87" i="8"/>
  <c r="N85" i="8"/>
  <c r="N94" i="8"/>
  <c r="N40" i="8"/>
  <c r="N121" i="8"/>
  <c r="N86" i="8"/>
  <c r="N72" i="8"/>
  <c r="N179" i="8"/>
  <c r="N35" i="8"/>
  <c r="N130" i="8"/>
  <c r="N194" i="8"/>
  <c r="N93" i="8"/>
  <c r="N200" i="8"/>
  <c r="N56" i="8"/>
  <c r="N115" i="8"/>
  <c r="N162" i="8"/>
  <c r="N29" i="8"/>
  <c r="N76" i="8"/>
  <c r="N111" i="8"/>
  <c r="N32" i="8"/>
  <c r="N180" i="8"/>
  <c r="N109" i="8"/>
  <c r="N204" i="8"/>
  <c r="N60" i="8"/>
  <c r="N167" i="8"/>
  <c r="N23" i="8"/>
  <c r="N118" i="8"/>
  <c r="N110" i="8"/>
  <c r="N81" i="8"/>
  <c r="N188" i="8"/>
  <c r="N44" i="8"/>
  <c r="N103" i="8"/>
  <c r="N161" i="8"/>
  <c r="N150" i="8"/>
  <c r="N64" i="8"/>
  <c r="N99" i="8"/>
  <c r="N73" i="8"/>
  <c r="N168" i="8"/>
  <c r="N24" i="8"/>
  <c r="N131" i="8"/>
  <c r="N158" i="8"/>
  <c r="N82" i="8"/>
  <c r="N189" i="8"/>
  <c r="N45" i="8"/>
  <c r="N152" i="8"/>
  <c r="N67" i="8"/>
  <c r="N65" i="8"/>
  <c r="N114" i="8"/>
  <c r="N172" i="8"/>
  <c r="N28" i="8"/>
  <c r="N63" i="8"/>
  <c r="N57" i="8"/>
  <c r="N79" i="8"/>
  <c r="N184" i="8"/>
  <c r="C20" i="8"/>
  <c r="Z122" i="4"/>
  <c r="Z135" i="4"/>
  <c r="Z145" i="4"/>
  <c r="Z170" i="4"/>
  <c r="Z193" i="4"/>
  <c r="Z218" i="4"/>
  <c r="Z150" i="4"/>
  <c r="Z205" i="4"/>
  <c r="Z112" i="4"/>
  <c r="Z113" i="4"/>
  <c r="Z114" i="4"/>
  <c r="Z115" i="4"/>
  <c r="Z116" i="4"/>
  <c r="Z117" i="4"/>
  <c r="Z118" i="4"/>
  <c r="Z119" i="4"/>
  <c r="Z120" i="4"/>
  <c r="Z121" i="4"/>
  <c r="Z123" i="4"/>
  <c r="Z124" i="4"/>
  <c r="Z125" i="4"/>
  <c r="Z126" i="4"/>
  <c r="Z127" i="4"/>
  <c r="Z128" i="4"/>
  <c r="Z129" i="4"/>
  <c r="Z130" i="4"/>
  <c r="Z131" i="4"/>
  <c r="Z132" i="4"/>
  <c r="Z133" i="4"/>
  <c r="Z134" i="4"/>
  <c r="Z136" i="4"/>
  <c r="Z137" i="4"/>
  <c r="Z138" i="4"/>
  <c r="Z139" i="4"/>
  <c r="Z140" i="4"/>
  <c r="Z141" i="4"/>
  <c r="Z142" i="4"/>
  <c r="Z143" i="4"/>
  <c r="Z144" i="4"/>
  <c r="Z146" i="4"/>
  <c r="Z147" i="4"/>
  <c r="Z148" i="4"/>
  <c r="Z149" i="4"/>
  <c r="Z151" i="4"/>
  <c r="Z152" i="4"/>
  <c r="Z153" i="4"/>
  <c r="Z154" i="4"/>
  <c r="Z155" i="4"/>
  <c r="Z156" i="4"/>
  <c r="Z157" i="4"/>
  <c r="Z158" i="4"/>
  <c r="Z159" i="4"/>
  <c r="Z160" i="4"/>
  <c r="Z161" i="4"/>
  <c r="Z162" i="4"/>
  <c r="Z163" i="4"/>
  <c r="Z164" i="4"/>
  <c r="Z165" i="4"/>
  <c r="Z166" i="4"/>
  <c r="Z167" i="4"/>
  <c r="Z168" i="4"/>
  <c r="Z169" i="4"/>
  <c r="Z171" i="4"/>
  <c r="Z172" i="4"/>
  <c r="Z173" i="4"/>
  <c r="Z174" i="4"/>
  <c r="Z175" i="4"/>
  <c r="Z176" i="4"/>
  <c r="Z177" i="4"/>
  <c r="Z178" i="4"/>
  <c r="Z179" i="4"/>
  <c r="Z180" i="4"/>
  <c r="Z181" i="4"/>
  <c r="Z182" i="4"/>
  <c r="Z183" i="4"/>
  <c r="Z184" i="4"/>
  <c r="Z185" i="4"/>
  <c r="Z186" i="4"/>
  <c r="Z187" i="4"/>
  <c r="Z188" i="4"/>
  <c r="Z189" i="4"/>
  <c r="Z190" i="4"/>
  <c r="Z191" i="4"/>
  <c r="Z192" i="4"/>
  <c r="Z194" i="4"/>
  <c r="Z195" i="4"/>
  <c r="Z196" i="4"/>
  <c r="Z197" i="4"/>
  <c r="Z198" i="4"/>
  <c r="Z199" i="4"/>
  <c r="Z200" i="4"/>
  <c r="Z201" i="4"/>
  <c r="Z202" i="4"/>
  <c r="Z203" i="4"/>
  <c r="Z204" i="4"/>
  <c r="Z207" i="4"/>
  <c r="Z208" i="4"/>
  <c r="Z209" i="4"/>
  <c r="Z210" i="4"/>
  <c r="Z211" i="4"/>
  <c r="Z212" i="4"/>
  <c r="Z213" i="4"/>
  <c r="Z214" i="4"/>
  <c r="Z215" i="4"/>
  <c r="Z216" i="4"/>
  <c r="Z217" i="4"/>
  <c r="Z219" i="4"/>
  <c r="Z220" i="4"/>
  <c r="Z221" i="4"/>
  <c r="Z222" i="4"/>
  <c r="Z223" i="4"/>
  <c r="Z224"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AQ201" i="4"/>
  <c r="AQ202" i="4"/>
  <c r="AQ203" i="4"/>
  <c r="AQ204" i="4"/>
  <c r="AQ205" i="4"/>
  <c r="AQ206" i="4"/>
  <c r="AQ207" i="4"/>
  <c r="AQ208" i="4"/>
  <c r="AQ209" i="4"/>
  <c r="AQ210" i="4"/>
  <c r="AQ211" i="4"/>
  <c r="AQ212" i="4"/>
  <c r="AQ213" i="4"/>
  <c r="AQ214" i="4"/>
  <c r="AQ215" i="4"/>
  <c r="AQ216" i="4"/>
  <c r="AQ217" i="4"/>
  <c r="AQ218" i="4"/>
  <c r="AQ219" i="4"/>
  <c r="AQ220" i="4"/>
  <c r="AQ221" i="4"/>
  <c r="AQ222" i="4"/>
  <c r="AQ223" i="4"/>
  <c r="AQ224" i="4"/>
  <c r="C34" i="26" l="1"/>
  <c r="G34" i="26" s="1"/>
  <c r="B35" i="26"/>
  <c r="C35" i="26" s="1"/>
  <c r="G35" i="26" s="1"/>
  <c r="AB59" i="8"/>
  <c r="AA60" i="8"/>
  <c r="AG58" i="8"/>
  <c r="AH57" i="8"/>
  <c r="S21" i="8"/>
  <c r="U21" i="8" s="1"/>
  <c r="Q21" i="8"/>
  <c r="C21" i="8" s="1"/>
  <c r="AH33" i="8"/>
  <c r="AB34" i="8"/>
  <c r="P22" i="8"/>
  <c r="Z206" i="4"/>
  <c r="AG59" i="8" l="1"/>
  <c r="AH58" i="8"/>
  <c r="AB60" i="8"/>
  <c r="AA61" i="8"/>
  <c r="S22" i="8"/>
  <c r="U22" i="8" s="1"/>
  <c r="Q22" i="8"/>
  <c r="C22" i="8" s="1"/>
  <c r="AH34" i="8"/>
  <c r="AB35" i="8"/>
  <c r="P23"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S20" i="8" s="1"/>
  <c r="L19" i="8"/>
  <c r="S19" i="8" s="1"/>
  <c r="AB61" i="8" l="1"/>
  <c r="AA62" i="8"/>
  <c r="AG60" i="8"/>
  <c r="AH59" i="8"/>
  <c r="S23" i="8"/>
  <c r="U23" i="8" s="1"/>
  <c r="Q23" i="8"/>
  <c r="C23" i="8" s="1"/>
  <c r="U20" i="8"/>
  <c r="V20" i="8"/>
  <c r="AH35" i="8"/>
  <c r="AB36" i="8"/>
  <c r="P24" i="8"/>
  <c r="U19" i="8"/>
  <c r="AG61" i="8" l="1"/>
  <c r="AH60" i="8"/>
  <c r="AB62" i="8"/>
  <c r="AA63" i="8"/>
  <c r="S24" i="8"/>
  <c r="U24" i="8" s="1"/>
  <c r="Q24" i="8"/>
  <c r="C24" i="8" s="1"/>
  <c r="AH36" i="8"/>
  <c r="AB37" i="8"/>
  <c r="P25" i="8"/>
  <c r="R21" i="8"/>
  <c r="V21" i="8" s="1"/>
  <c r="R22" i="8" s="1"/>
  <c r="V22" i="8" s="1"/>
  <c r="R23" i="8" s="1"/>
  <c r="V23" i="8" s="1"/>
  <c r="R24" i="8" s="1"/>
  <c r="V24" i="8" s="1"/>
  <c r="Z49" i="4"/>
  <c r="AQ49" i="4"/>
  <c r="AB63" i="8" l="1"/>
  <c r="AA64" i="8"/>
  <c r="AG62" i="8"/>
  <c r="AH61" i="8"/>
  <c r="S25" i="8"/>
  <c r="U25" i="8" s="1"/>
  <c r="Q25" i="8"/>
  <c r="C25" i="8" s="1"/>
  <c r="AH37" i="8"/>
  <c r="AB38" i="8"/>
  <c r="P26" i="8"/>
  <c r="R25" i="8"/>
  <c r="V25" i="8" s="1"/>
  <c r="Z5" i="4"/>
  <c r="Z66" i="4"/>
  <c r="Z67" i="4"/>
  <c r="Z71" i="4"/>
  <c r="Z84" i="4"/>
  <c r="Z90" i="4"/>
  <c r="Z93" i="4"/>
  <c r="Z96" i="4"/>
  <c r="Z104" i="4"/>
  <c r="Z107" i="4"/>
  <c r="Z15" i="4"/>
  <c r="Z24" i="4"/>
  <c r="Z29" i="4"/>
  <c r="Z39" i="4"/>
  <c r="Z42" i="4"/>
  <c r="Z52" i="4"/>
  <c r="Z55" i="4"/>
  <c r="Z59" i="4"/>
  <c r="Z65" i="4"/>
  <c r="Z73" i="4"/>
  <c r="Z75" i="4"/>
  <c r="Z78" i="4"/>
  <c r="Z79" i="4"/>
  <c r="Z81" i="4"/>
  <c r="Z82" i="4"/>
  <c r="Z83" i="4"/>
  <c r="Z85" i="4"/>
  <c r="Z86" i="4"/>
  <c r="Z97" i="4"/>
  <c r="Z101" i="4"/>
  <c r="AQ4"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8" i="4"/>
  <c r="Z41" i="4"/>
  <c r="Z33" i="4"/>
  <c r="AO15" i="4" l="1"/>
  <c r="AF15" i="4"/>
  <c r="AF5" i="4"/>
  <c r="AO5" i="4" s="1"/>
  <c r="AQ5" i="4" s="1"/>
  <c r="AT10" i="4"/>
  <c r="AT7" i="4"/>
  <c r="AH62" i="8"/>
  <c r="AG63" i="8"/>
  <c r="AA65" i="8"/>
  <c r="AB65" i="8" s="1"/>
  <c r="AB64" i="8"/>
  <c r="S26" i="8"/>
  <c r="U26" i="8" s="1"/>
  <c r="Q26" i="8"/>
  <c r="C26" i="8" s="1"/>
  <c r="AH38" i="8"/>
  <c r="AB39" i="8"/>
  <c r="P27" i="8"/>
  <c r="R26" i="8"/>
  <c r="V26" i="8" s="1"/>
  <c r="Z10" i="4"/>
  <c r="Z9" i="4"/>
  <c r="Z61" i="4"/>
  <c r="Z72" i="4"/>
  <c r="Z35" i="4"/>
  <c r="Z91" i="4"/>
  <c r="Z87" i="4"/>
  <c r="Z7" i="4"/>
  <c r="Z8" i="4"/>
  <c r="AO4" i="4"/>
  <c r="Z62" i="4"/>
  <c r="Z108" i="4"/>
  <c r="Z106" i="4"/>
  <c r="Z94" i="4"/>
  <c r="Z105" i="4"/>
  <c r="Z70" i="4"/>
  <c r="Z21" i="4"/>
  <c r="Z68" i="4"/>
  <c r="Z56" i="4"/>
  <c r="Z102" i="4"/>
  <c r="Z48" i="4"/>
  <c r="Z60" i="4"/>
  <c r="Z28" i="4"/>
  <c r="Z88" i="4"/>
  <c r="Z80" i="4"/>
  <c r="Z100" i="4"/>
  <c r="Z76" i="4"/>
  <c r="Z27" i="4"/>
  <c r="Z63" i="4"/>
  <c r="Z38" i="4"/>
  <c r="Z14" i="4"/>
  <c r="Z53" i="4"/>
  <c r="Z77" i="4"/>
  <c r="Z23" i="4"/>
  <c r="Z98" i="4"/>
  <c r="Z111" i="4"/>
  <c r="Z69" i="4"/>
  <c r="Z44" i="4"/>
  <c r="Z36" i="4"/>
  <c r="Z12" i="4"/>
  <c r="Z37" i="4"/>
  <c r="Z110" i="4"/>
  <c r="Z103" i="4"/>
  <c r="Z89" i="4"/>
  <c r="Z43" i="4"/>
  <c r="Z19" i="4"/>
  <c r="Z11" i="4"/>
  <c r="Z109" i="4"/>
  <c r="Z95" i="4"/>
  <c r="Z51" i="4"/>
  <c r="Z34" i="4"/>
  <c r="Z26" i="4"/>
  <c r="Z18" i="4"/>
  <c r="Z13" i="4"/>
  <c r="Z99" i="4"/>
  <c r="Z74" i="4"/>
  <c r="Z16" i="4"/>
  <c r="Z58" i="4"/>
  <c r="Z50" i="4"/>
  <c r="Z25" i="4"/>
  <c r="Z17" i="4"/>
  <c r="Z92" i="4"/>
  <c r="Z20" i="4"/>
  <c r="Z57" i="4"/>
  <c r="Z40" i="4"/>
  <c r="Z32" i="4"/>
  <c r="Z54" i="4"/>
  <c r="Z45" i="4"/>
  <c r="Z46" i="4"/>
  <c r="Z22" i="4"/>
  <c r="Z64" i="4"/>
  <c r="Z47" i="4"/>
  <c r="Z31" i="4"/>
  <c r="Z30" i="4"/>
  <c r="AO11" i="4" l="1"/>
  <c r="AF11" i="4"/>
  <c r="AO10" i="4"/>
  <c r="AF10" i="4"/>
  <c r="AO9" i="4"/>
  <c r="AF9" i="4"/>
  <c r="AO8" i="4"/>
  <c r="AF8" i="4"/>
  <c r="AF7" i="4"/>
  <c r="AO7" i="4" s="1"/>
  <c r="AH63" i="8"/>
  <c r="AG64" i="8"/>
  <c r="S27" i="8"/>
  <c r="U27" i="8" s="1"/>
  <c r="Q27" i="8"/>
  <c r="C27" i="8" s="1"/>
  <c r="AH39" i="8"/>
  <c r="AB40" i="8"/>
  <c r="P28" i="8"/>
  <c r="R27" i="8"/>
  <c r="V27" i="8" s="1"/>
  <c r="AQ7" i="4"/>
  <c r="AT2" i="4" l="1"/>
  <c r="AT6" i="4"/>
  <c r="AT11" i="4"/>
  <c r="AT3" i="4"/>
  <c r="AH64" i="8"/>
  <c r="AG65" i="8"/>
  <c r="AH65" i="8" s="1"/>
  <c r="S28" i="8"/>
  <c r="U28" i="8" s="1"/>
  <c r="Q28" i="8"/>
  <c r="C28" i="8" s="1"/>
  <c r="AH40" i="8"/>
  <c r="AB41" i="8"/>
  <c r="P29" i="8"/>
  <c r="R28" i="8"/>
  <c r="V28" i="8" s="1"/>
  <c r="S29" i="8" l="1"/>
  <c r="U29" i="8" s="1"/>
  <c r="Q29" i="8"/>
  <c r="C29" i="8" s="1"/>
  <c r="AH41" i="8"/>
  <c r="AB42" i="8"/>
  <c r="P30" i="8"/>
  <c r="R29" i="8"/>
  <c r="S30" i="8" l="1"/>
  <c r="U30" i="8" s="1"/>
  <c r="Q30" i="8"/>
  <c r="C30" i="8" s="1"/>
  <c r="AH42" i="8"/>
  <c r="AB43" i="8"/>
  <c r="P31" i="8"/>
  <c r="V29" i="8"/>
  <c r="R30" i="8"/>
  <c r="S31" i="8" l="1"/>
  <c r="Q31" i="8"/>
  <c r="C31" i="8" s="1"/>
  <c r="AH43" i="8"/>
  <c r="AB44" i="8"/>
  <c r="P32" i="8"/>
  <c r="V30" i="8"/>
  <c r="R31" i="8"/>
  <c r="V31" i="8"/>
  <c r="S32" i="8" l="1"/>
  <c r="U32" i="8" s="1"/>
  <c r="Q32" i="8"/>
  <c r="C32" i="8" s="1"/>
  <c r="AH44" i="8"/>
  <c r="AB45" i="8"/>
  <c r="P33" i="8"/>
  <c r="U31" i="8"/>
  <c r="R32" i="8"/>
  <c r="S33" i="8" l="1"/>
  <c r="U33" i="8" s="1"/>
  <c r="Q33" i="8"/>
  <c r="C33" i="8" s="1"/>
  <c r="AH45" i="8"/>
  <c r="AB46" i="8"/>
  <c r="AB47" i="8"/>
  <c r="P34" i="8"/>
  <c r="V32" i="8"/>
  <c r="R33" i="8"/>
  <c r="V33" i="8" s="1"/>
  <c r="S34" i="8" l="1"/>
  <c r="U34" i="8" s="1"/>
  <c r="Q34" i="8"/>
  <c r="C34" i="8" s="1"/>
  <c r="AH46" i="8"/>
  <c r="P35" i="8"/>
  <c r="R34" i="8"/>
  <c r="S35" i="8" l="1"/>
  <c r="U35" i="8" s="1"/>
  <c r="Q35" i="8"/>
  <c r="C35" i="8" s="1"/>
  <c r="AH47" i="8"/>
  <c r="AH48" i="8"/>
  <c r="P36" i="8"/>
  <c r="V34" i="8"/>
  <c r="R35" i="8"/>
  <c r="S36" i="8" l="1"/>
  <c r="U36" i="8" s="1"/>
  <c r="Q36" i="8"/>
  <c r="C36" i="8" s="1"/>
  <c r="P37" i="8"/>
  <c r="V35" i="8"/>
  <c r="R36" i="8"/>
  <c r="S37" i="8" l="1"/>
  <c r="U37" i="8" s="1"/>
  <c r="Q37" i="8"/>
  <c r="C37" i="8" s="1"/>
  <c r="P38" i="8"/>
  <c r="V36" i="8"/>
  <c r="R37" i="8"/>
  <c r="V37" i="8" s="1"/>
  <c r="S38" i="8" l="1"/>
  <c r="U38" i="8" s="1"/>
  <c r="Q38" i="8"/>
  <c r="C38" i="8" s="1"/>
  <c r="P39" i="8"/>
  <c r="R38" i="8"/>
  <c r="S39" i="8" l="1"/>
  <c r="U39" i="8" s="1"/>
  <c r="Q39" i="8"/>
  <c r="C39" i="8" s="1"/>
  <c r="P40" i="8"/>
  <c r="V38" i="8"/>
  <c r="R39" i="8"/>
  <c r="V39" i="8"/>
  <c r="S40" i="8" l="1"/>
  <c r="U40" i="8" s="1"/>
  <c r="Q40" i="8"/>
  <c r="C40" i="8" s="1"/>
  <c r="P41" i="8"/>
  <c r="R40" i="8"/>
  <c r="S41" i="8" l="1"/>
  <c r="U41" i="8" s="1"/>
  <c r="Q41" i="8"/>
  <c r="C41" i="8" s="1"/>
  <c r="P42" i="8"/>
  <c r="V40" i="8"/>
  <c r="R41" i="8"/>
  <c r="V41" i="8" s="1"/>
  <c r="S42" i="8" l="1"/>
  <c r="U42" i="8" s="1"/>
  <c r="Q42" i="8"/>
  <c r="C42" i="8" s="1"/>
  <c r="P43" i="8"/>
  <c r="R42" i="8"/>
  <c r="S43" i="8" l="1"/>
  <c r="U43" i="8" s="1"/>
  <c r="Q43" i="8"/>
  <c r="C43" i="8" s="1"/>
  <c r="P44" i="8"/>
  <c r="V42" i="8"/>
  <c r="R43" i="8"/>
  <c r="V43" i="8"/>
  <c r="S44" i="8" l="1"/>
  <c r="U44" i="8" s="1"/>
  <c r="Q44" i="8"/>
  <c r="C44" i="8" s="1"/>
  <c r="P45" i="8"/>
  <c r="R44" i="8"/>
  <c r="S45" i="8" l="1"/>
  <c r="U45" i="8" s="1"/>
  <c r="Q45" i="8"/>
  <c r="C45" i="8" s="1"/>
  <c r="P46" i="8"/>
  <c r="V44" i="8"/>
  <c r="R45" i="8"/>
  <c r="V45" i="8"/>
  <c r="S46" i="8" l="1"/>
  <c r="U46" i="8" s="1"/>
  <c r="Q46" i="8"/>
  <c r="C46" i="8" s="1"/>
  <c r="P47" i="8"/>
  <c r="R46" i="8"/>
  <c r="S47" i="8" l="1"/>
  <c r="U47" i="8" s="1"/>
  <c r="Q47" i="8"/>
  <c r="C47" i="8" s="1"/>
  <c r="P48" i="8"/>
  <c r="V46" i="8"/>
  <c r="R47" i="8"/>
  <c r="S48" i="8" l="1"/>
  <c r="U48" i="8" s="1"/>
  <c r="Q48" i="8"/>
  <c r="C48" i="8" s="1"/>
  <c r="P49" i="8"/>
  <c r="V47" i="8"/>
  <c r="R48" i="8"/>
  <c r="V48" i="8" s="1"/>
  <c r="S49" i="8" l="1"/>
  <c r="U49" i="8" s="1"/>
  <c r="Q49" i="8"/>
  <c r="C49" i="8" s="1"/>
  <c r="P50" i="8"/>
  <c r="R49" i="8"/>
  <c r="S50" i="8" l="1"/>
  <c r="U50" i="8" s="1"/>
  <c r="Q50" i="8"/>
  <c r="C50" i="8" s="1"/>
  <c r="P51" i="8"/>
  <c r="V49" i="8"/>
  <c r="R50" i="8"/>
  <c r="V50" i="8" s="1"/>
  <c r="S51" i="8" l="1"/>
  <c r="U51" i="8" s="1"/>
  <c r="Q51" i="8"/>
  <c r="C51" i="8" s="1"/>
  <c r="P52" i="8"/>
  <c r="R51" i="8"/>
  <c r="V51" i="8" s="1"/>
  <c r="S52" i="8" l="1"/>
  <c r="U52" i="8" s="1"/>
  <c r="Q52" i="8"/>
  <c r="C52" i="8" s="1"/>
  <c r="P53" i="8"/>
  <c r="R52" i="8"/>
  <c r="S53" i="8" l="1"/>
  <c r="Q53" i="8"/>
  <c r="C53" i="8" s="1"/>
  <c r="P54" i="8"/>
  <c r="V52" i="8"/>
  <c r="R53" i="8"/>
  <c r="V53" i="8"/>
  <c r="S54" i="8" l="1"/>
  <c r="U54" i="8" s="1"/>
  <c r="Q54" i="8"/>
  <c r="C54" i="8" s="1"/>
  <c r="P55" i="8"/>
  <c r="U53" i="8"/>
  <c r="R54" i="8"/>
  <c r="S55" i="8" l="1"/>
  <c r="Q55" i="8"/>
  <c r="C55" i="8" s="1"/>
  <c r="P56" i="8"/>
  <c r="V54" i="8"/>
  <c r="R55" i="8"/>
  <c r="S56" i="8" l="1"/>
  <c r="U56" i="8" s="1"/>
  <c r="Q56" i="8"/>
  <c r="C56" i="8" s="1"/>
  <c r="P57" i="8"/>
  <c r="V55" i="8"/>
  <c r="U55" i="8"/>
  <c r="R56" i="8"/>
  <c r="S57" i="8" l="1"/>
  <c r="U57" i="8" s="1"/>
  <c r="Q57" i="8"/>
  <c r="C57" i="8" s="1"/>
  <c r="P58" i="8"/>
  <c r="V56" i="8"/>
  <c r="R57" i="8"/>
  <c r="S58" i="8" l="1"/>
  <c r="Q58" i="8"/>
  <c r="C58" i="8" s="1"/>
  <c r="P59" i="8"/>
  <c r="V57" i="8"/>
  <c r="R58" i="8"/>
  <c r="V58" i="8"/>
  <c r="S59" i="8" l="1"/>
  <c r="U59" i="8" s="1"/>
  <c r="Q59" i="8"/>
  <c r="C59" i="8" s="1"/>
  <c r="P60" i="8"/>
  <c r="U58" i="8"/>
  <c r="R59" i="8"/>
  <c r="V59" i="8" s="1"/>
  <c r="S60" i="8" l="1"/>
  <c r="U60" i="8" s="1"/>
  <c r="Q60" i="8"/>
  <c r="C60" i="8" s="1"/>
  <c r="P61" i="8"/>
  <c r="R60" i="8"/>
  <c r="V60" i="8" s="1"/>
  <c r="S61" i="8" l="1"/>
  <c r="Q61" i="8"/>
  <c r="C61" i="8" s="1"/>
  <c r="P62" i="8"/>
  <c r="R61" i="8"/>
  <c r="V61" i="8"/>
  <c r="S62" i="8" l="1"/>
  <c r="U62" i="8" s="1"/>
  <c r="Q62" i="8"/>
  <c r="C62" i="8" s="1"/>
  <c r="P63" i="8"/>
  <c r="U61" i="8"/>
  <c r="R62" i="8"/>
  <c r="V62" i="8" s="1"/>
  <c r="S63" i="8" l="1"/>
  <c r="U63" i="8" s="1"/>
  <c r="Q63" i="8"/>
  <c r="C63" i="8" s="1"/>
  <c r="P64" i="8"/>
  <c r="R63" i="8"/>
  <c r="S64" i="8" l="1"/>
  <c r="U64" i="8" s="1"/>
  <c r="Q64" i="8"/>
  <c r="C64" i="8" s="1"/>
  <c r="P65" i="8"/>
  <c r="V63" i="8"/>
  <c r="R64" i="8"/>
  <c r="V64" i="8" s="1"/>
  <c r="S65" i="8" l="1"/>
  <c r="U65" i="8" s="1"/>
  <c r="Q65" i="8"/>
  <c r="C65" i="8" s="1"/>
  <c r="P66" i="8"/>
  <c r="R65" i="8"/>
  <c r="V65" i="8" s="1"/>
  <c r="S66" i="8" l="1"/>
  <c r="U66" i="8" s="1"/>
  <c r="Q66" i="8"/>
  <c r="C66" i="8" s="1"/>
  <c r="P67" i="8"/>
  <c r="R66" i="8"/>
  <c r="S67" i="8" l="1"/>
  <c r="Q67" i="8"/>
  <c r="C67" i="8" s="1"/>
  <c r="P68" i="8"/>
  <c r="V66" i="8"/>
  <c r="R67" i="8"/>
  <c r="V67" i="8"/>
  <c r="S68" i="8" l="1"/>
  <c r="U68" i="8" s="1"/>
  <c r="Q68" i="8"/>
  <c r="C68" i="8" s="1"/>
  <c r="P69" i="8"/>
  <c r="U67" i="8"/>
  <c r="R68" i="8"/>
  <c r="V68" i="8"/>
  <c r="S69" i="8" l="1"/>
  <c r="U69" i="8" s="1"/>
  <c r="Q69" i="8"/>
  <c r="C69" i="8" s="1"/>
  <c r="P70" i="8"/>
  <c r="R69" i="8"/>
  <c r="V69" i="8"/>
  <c r="S70" i="8" l="1"/>
  <c r="U70" i="8" s="1"/>
  <c r="Q70" i="8"/>
  <c r="C70" i="8" s="1"/>
  <c r="P71" i="8"/>
  <c r="R70" i="8"/>
  <c r="S71" i="8" l="1"/>
  <c r="U71" i="8" s="1"/>
  <c r="Q71" i="8"/>
  <c r="C71" i="8" s="1"/>
  <c r="P72" i="8"/>
  <c r="V70" i="8"/>
  <c r="R71" i="8"/>
  <c r="V71" i="8" s="1"/>
  <c r="S72" i="8" l="1"/>
  <c r="Q72" i="8"/>
  <c r="C72" i="8" s="1"/>
  <c r="P73" i="8"/>
  <c r="R72" i="8"/>
  <c r="V72" i="8"/>
  <c r="S73" i="8" l="1"/>
  <c r="U73" i="8" s="1"/>
  <c r="Q73" i="8"/>
  <c r="C73" i="8" s="1"/>
  <c r="P74" i="8"/>
  <c r="U72" i="8"/>
  <c r="R73" i="8"/>
  <c r="S74" i="8" l="1"/>
  <c r="U74" i="8" s="1"/>
  <c r="Q74" i="8"/>
  <c r="C74" i="8" s="1"/>
  <c r="P75" i="8"/>
  <c r="V73" i="8"/>
  <c r="R74" i="8"/>
  <c r="V74" i="8" s="1"/>
  <c r="S75" i="8" l="1"/>
  <c r="U75" i="8" s="1"/>
  <c r="Q75" i="8"/>
  <c r="C75" i="8" s="1"/>
  <c r="P76" i="8"/>
  <c r="R75" i="8"/>
  <c r="V75" i="8" s="1"/>
  <c r="S76" i="8" l="1"/>
  <c r="Q76" i="8"/>
  <c r="C76" i="8" s="1"/>
  <c r="P77" i="8"/>
  <c r="R76" i="8"/>
  <c r="V76" i="8"/>
  <c r="S77" i="8" l="1"/>
  <c r="U77" i="8" s="1"/>
  <c r="Q77" i="8"/>
  <c r="C77" i="8" s="1"/>
  <c r="P78" i="8"/>
  <c r="U76" i="8"/>
  <c r="R77" i="8"/>
  <c r="S78" i="8" l="1"/>
  <c r="U78" i="8" s="1"/>
  <c r="Q78" i="8"/>
  <c r="C78" i="8" s="1"/>
  <c r="P79" i="8"/>
  <c r="V77" i="8"/>
  <c r="R78" i="8"/>
  <c r="S79" i="8" l="1"/>
  <c r="U79" i="8" s="1"/>
  <c r="Q79" i="8"/>
  <c r="C79" i="8" s="1"/>
  <c r="P80" i="8"/>
  <c r="V78" i="8"/>
  <c r="R79" i="8"/>
  <c r="S80" i="8" l="1"/>
  <c r="U80" i="8" s="1"/>
  <c r="Q80" i="8"/>
  <c r="C80" i="8" s="1"/>
  <c r="P81" i="8"/>
  <c r="V79" i="8"/>
  <c r="R80" i="8" s="1"/>
  <c r="S81" i="8" l="1"/>
  <c r="U81" i="8" s="1"/>
  <c r="Q81" i="8"/>
  <c r="C81" i="8" s="1"/>
  <c r="P82" i="8"/>
  <c r="V80" i="8"/>
  <c r="R81" i="8"/>
  <c r="S82" i="8" l="1"/>
  <c r="U82" i="8" s="1"/>
  <c r="Q82" i="8"/>
  <c r="C82" i="8" s="1"/>
  <c r="P83" i="8"/>
  <c r="V81" i="8"/>
  <c r="R82" i="8"/>
  <c r="V82" i="8" s="1"/>
  <c r="S83" i="8" l="1"/>
  <c r="U83" i="8" s="1"/>
  <c r="Q83" i="8"/>
  <c r="C83" i="8" s="1"/>
  <c r="P84" i="8"/>
  <c r="R83" i="8"/>
  <c r="V83" i="8" s="1"/>
  <c r="S84" i="8" l="1"/>
  <c r="U84" i="8" s="1"/>
  <c r="Q84" i="8"/>
  <c r="C84" i="8" s="1"/>
  <c r="P85" i="8"/>
  <c r="R84" i="8"/>
  <c r="V84" i="8" s="1"/>
  <c r="S85" i="8" l="1"/>
  <c r="U85" i="8" s="1"/>
  <c r="Q85" i="8"/>
  <c r="C85" i="8" s="1"/>
  <c r="P86" i="8"/>
  <c r="R85" i="8"/>
  <c r="V85" i="8" s="1"/>
  <c r="S86" i="8" l="1"/>
  <c r="U86" i="8" s="1"/>
  <c r="Q86" i="8"/>
  <c r="C86" i="8" s="1"/>
  <c r="P87" i="8"/>
  <c r="R86" i="8"/>
  <c r="V86" i="8" s="1"/>
  <c r="S87" i="8" l="1"/>
  <c r="U87" i="8" s="1"/>
  <c r="Q87" i="8"/>
  <c r="C87" i="8" s="1"/>
  <c r="P88" i="8"/>
  <c r="R87" i="8"/>
  <c r="V87" i="8"/>
  <c r="S88" i="8" l="1"/>
  <c r="U88" i="8" s="1"/>
  <c r="Q88" i="8"/>
  <c r="C88" i="8" s="1"/>
  <c r="P89" i="8"/>
  <c r="R88" i="8"/>
  <c r="S89" i="8" l="1"/>
  <c r="U89" i="8" s="1"/>
  <c r="Q89" i="8"/>
  <c r="C89" i="8" s="1"/>
  <c r="P90" i="8"/>
  <c r="V88" i="8"/>
  <c r="R89" i="8"/>
  <c r="V89" i="8"/>
  <c r="S90" i="8" l="1"/>
  <c r="U90" i="8" s="1"/>
  <c r="Q90" i="8"/>
  <c r="C90" i="8" s="1"/>
  <c r="P91" i="8"/>
  <c r="R90" i="8"/>
  <c r="S91" i="8" l="1"/>
  <c r="U91" i="8" s="1"/>
  <c r="Q91" i="8"/>
  <c r="C91" i="8" s="1"/>
  <c r="P92" i="8"/>
  <c r="V90" i="8"/>
  <c r="R91" i="8"/>
  <c r="S92" i="8" l="1"/>
  <c r="U92" i="8" s="1"/>
  <c r="Q92" i="8"/>
  <c r="C92" i="8" s="1"/>
  <c r="P93" i="8"/>
  <c r="V91" i="8"/>
  <c r="V92" i="8"/>
  <c r="R92" i="8"/>
  <c r="S93" i="8" l="1"/>
  <c r="U93" i="8" s="1"/>
  <c r="Q93" i="8"/>
  <c r="C93" i="8" s="1"/>
  <c r="P94" i="8"/>
  <c r="R93" i="8"/>
  <c r="V93" i="8" s="1"/>
  <c r="S94" i="8" l="1"/>
  <c r="U94" i="8" s="1"/>
  <c r="Q94" i="8"/>
  <c r="C94" i="8" s="1"/>
  <c r="P95" i="8"/>
  <c r="R94" i="8"/>
  <c r="S95" i="8" l="1"/>
  <c r="U95" i="8" s="1"/>
  <c r="Q95" i="8"/>
  <c r="C95" i="8" s="1"/>
  <c r="P96" i="8"/>
  <c r="V94" i="8"/>
  <c r="R95" i="8"/>
  <c r="S96" i="8" l="1"/>
  <c r="Q96" i="8"/>
  <c r="C96" i="8" s="1"/>
  <c r="P97" i="8"/>
  <c r="V95" i="8"/>
  <c r="R96" i="8"/>
  <c r="V96" i="8"/>
  <c r="S97" i="8" l="1"/>
  <c r="U97" i="8" s="1"/>
  <c r="Q97" i="8"/>
  <c r="C97" i="8" s="1"/>
  <c r="P98" i="8"/>
  <c r="U96" i="8"/>
  <c r="R97" i="8"/>
  <c r="S98" i="8" l="1"/>
  <c r="U98" i="8" s="1"/>
  <c r="Q98" i="8"/>
  <c r="C98" i="8" s="1"/>
  <c r="P99" i="8"/>
  <c r="V97" i="8"/>
  <c r="R98" i="8" s="1"/>
  <c r="V98" i="8" s="1"/>
  <c r="S99" i="8" l="1"/>
  <c r="U99" i="8" s="1"/>
  <c r="Q99" i="8"/>
  <c r="C99" i="8" s="1"/>
  <c r="P100" i="8"/>
  <c r="R99" i="8"/>
  <c r="S100" i="8" l="1"/>
  <c r="U100" i="8" s="1"/>
  <c r="Q100" i="8"/>
  <c r="C100" i="8" s="1"/>
  <c r="P101" i="8"/>
  <c r="V99" i="8"/>
  <c r="R100" i="8"/>
  <c r="V100" i="8"/>
  <c r="S101" i="8" l="1"/>
  <c r="U101" i="8" s="1"/>
  <c r="Q101" i="8"/>
  <c r="C101" i="8" s="1"/>
  <c r="P102" i="8"/>
  <c r="R101" i="8"/>
  <c r="S102" i="8" l="1"/>
  <c r="U102" i="8" s="1"/>
  <c r="Q102" i="8"/>
  <c r="C102" i="8" s="1"/>
  <c r="P103" i="8"/>
  <c r="V101" i="8"/>
  <c r="R102" i="8"/>
  <c r="V102" i="8"/>
  <c r="S103" i="8" l="1"/>
  <c r="U103" i="8" s="1"/>
  <c r="Q103" i="8"/>
  <c r="C103" i="8" s="1"/>
  <c r="P104" i="8"/>
  <c r="R103" i="8"/>
  <c r="V103" i="8"/>
  <c r="S104" i="8" l="1"/>
  <c r="U104" i="8" s="1"/>
  <c r="Q104" i="8"/>
  <c r="C104" i="8" s="1"/>
  <c r="P105" i="8"/>
  <c r="R104" i="8"/>
  <c r="S105" i="8" l="1"/>
  <c r="U105" i="8" s="1"/>
  <c r="Q105" i="8"/>
  <c r="C105" i="8" s="1"/>
  <c r="P106" i="8"/>
  <c r="V104" i="8"/>
  <c r="R105" i="8"/>
  <c r="V105" i="8" s="1"/>
  <c r="S106" i="8" l="1"/>
  <c r="Q106" i="8"/>
  <c r="C106" i="8" s="1"/>
  <c r="P107" i="8"/>
  <c r="R106" i="8"/>
  <c r="V106" i="8"/>
  <c r="S107" i="8" l="1"/>
  <c r="U107" i="8" s="1"/>
  <c r="Q107" i="8"/>
  <c r="C107" i="8" s="1"/>
  <c r="P108" i="8"/>
  <c r="U106" i="8"/>
  <c r="R107" i="8"/>
  <c r="V107" i="8" s="1"/>
  <c r="S108" i="8" l="1"/>
  <c r="U108" i="8" s="1"/>
  <c r="Q108" i="8"/>
  <c r="C108" i="8" s="1"/>
  <c r="P109" i="8"/>
  <c r="R108" i="8"/>
  <c r="V108" i="8" s="1"/>
  <c r="S109" i="8" l="1"/>
  <c r="U109" i="8" s="1"/>
  <c r="Q109" i="8"/>
  <c r="C109" i="8" s="1"/>
  <c r="P110" i="8"/>
  <c r="R109" i="8"/>
  <c r="S110" i="8" l="1"/>
  <c r="Q110" i="8"/>
  <c r="C110" i="8" s="1"/>
  <c r="P111" i="8"/>
  <c r="V109" i="8"/>
  <c r="R110" i="8"/>
  <c r="V110" i="8"/>
  <c r="S111" i="8" l="1"/>
  <c r="Q111" i="8"/>
  <c r="C111" i="8" s="1"/>
  <c r="P112" i="8"/>
  <c r="U110" i="8"/>
  <c r="R111" i="8"/>
  <c r="V111" i="8"/>
  <c r="S112" i="8" l="1"/>
  <c r="U112" i="8" s="1"/>
  <c r="Q112" i="8"/>
  <c r="C112" i="8" s="1"/>
  <c r="P113" i="8"/>
  <c r="U111" i="8"/>
  <c r="R112" i="8"/>
  <c r="S113" i="8" l="1"/>
  <c r="U113" i="8" s="1"/>
  <c r="Q113" i="8"/>
  <c r="C113" i="8" s="1"/>
  <c r="P114" i="8"/>
  <c r="V112" i="8"/>
  <c r="R113" i="8"/>
  <c r="S114" i="8" l="1"/>
  <c r="U114" i="8" s="1"/>
  <c r="Q114" i="8"/>
  <c r="C114" i="8" s="1"/>
  <c r="P115" i="8"/>
  <c r="V113" i="8"/>
  <c r="R114" i="8"/>
  <c r="V114" i="8" s="1"/>
  <c r="S115" i="8" l="1"/>
  <c r="U115" i="8" s="1"/>
  <c r="Q115" i="8"/>
  <c r="C115" i="8" s="1"/>
  <c r="P116" i="8"/>
  <c r="R115" i="8"/>
  <c r="S116" i="8" l="1"/>
  <c r="U116" i="8" s="1"/>
  <c r="Q116" i="8"/>
  <c r="C116" i="8" s="1"/>
  <c r="P117" i="8"/>
  <c r="V115" i="8"/>
  <c r="R116" i="8" s="1"/>
  <c r="V116" i="8" s="1"/>
  <c r="S117" i="8" l="1"/>
  <c r="U117" i="8" s="1"/>
  <c r="Q117" i="8"/>
  <c r="C117" i="8" s="1"/>
  <c r="P118" i="8"/>
  <c r="R117" i="8"/>
  <c r="S118" i="8" l="1"/>
  <c r="U118" i="8" s="1"/>
  <c r="Q118" i="8"/>
  <c r="C118" i="8" s="1"/>
  <c r="P119" i="8"/>
  <c r="V117" i="8"/>
  <c r="R118" i="8"/>
  <c r="S119" i="8" l="1"/>
  <c r="U119" i="8" s="1"/>
  <c r="Q119" i="8"/>
  <c r="C119" i="8" s="1"/>
  <c r="P120" i="8"/>
  <c r="V118" i="8"/>
  <c r="R119" i="8"/>
  <c r="S120" i="8" l="1"/>
  <c r="U120" i="8" s="1"/>
  <c r="Q120" i="8"/>
  <c r="C120" i="8" s="1"/>
  <c r="P121" i="8"/>
  <c r="V119" i="8"/>
  <c r="R120" i="8"/>
  <c r="S121" i="8" l="1"/>
  <c r="Q121" i="8"/>
  <c r="C121" i="8" s="1"/>
  <c r="P122" i="8"/>
  <c r="V120" i="8"/>
  <c r="R121" i="8"/>
  <c r="V121" i="8"/>
  <c r="S122" i="8" l="1"/>
  <c r="U122" i="8" s="1"/>
  <c r="Q122" i="8"/>
  <c r="C122" i="8" s="1"/>
  <c r="P123" i="8"/>
  <c r="U121" i="8"/>
  <c r="R122" i="8"/>
  <c r="V122" i="8" s="1"/>
  <c r="S123" i="8" l="1"/>
  <c r="U123" i="8" s="1"/>
  <c r="Q123" i="8"/>
  <c r="C123" i="8" s="1"/>
  <c r="P124" i="8"/>
  <c r="R123" i="8"/>
  <c r="S124" i="8" l="1"/>
  <c r="U124" i="8" s="1"/>
  <c r="Q124" i="8"/>
  <c r="C124" i="8" s="1"/>
  <c r="P125" i="8"/>
  <c r="V123" i="8"/>
  <c r="R124" i="8"/>
  <c r="V124" i="8" s="1"/>
  <c r="S125" i="8" l="1"/>
  <c r="Q125" i="8"/>
  <c r="C125" i="8" s="1"/>
  <c r="P126" i="8"/>
  <c r="R125" i="8"/>
  <c r="V125" i="8"/>
  <c r="S126" i="8" l="1"/>
  <c r="U126" i="8" s="1"/>
  <c r="Q126" i="8"/>
  <c r="C126" i="8" s="1"/>
  <c r="P127" i="8"/>
  <c r="U125" i="8"/>
  <c r="R126" i="8"/>
  <c r="V126" i="8" s="1"/>
  <c r="S127" i="8" l="1"/>
  <c r="Q127" i="8"/>
  <c r="C127" i="8" s="1"/>
  <c r="P128" i="8"/>
  <c r="R127" i="8"/>
  <c r="V127" i="8"/>
  <c r="S128" i="8" l="1"/>
  <c r="U128" i="8" s="1"/>
  <c r="Q128" i="8"/>
  <c r="C128" i="8" s="1"/>
  <c r="P129" i="8"/>
  <c r="U127" i="8"/>
  <c r="R128" i="8"/>
  <c r="S129" i="8" l="1"/>
  <c r="U129" i="8" s="1"/>
  <c r="Q129" i="8"/>
  <c r="C129" i="8" s="1"/>
  <c r="P130" i="8"/>
  <c r="V128" i="8"/>
  <c r="R129" i="8"/>
  <c r="V129" i="8" s="1"/>
  <c r="S130" i="8" l="1"/>
  <c r="Q130" i="8"/>
  <c r="C130" i="8" s="1"/>
  <c r="P131" i="8"/>
  <c r="R130" i="8"/>
  <c r="V130" i="8"/>
  <c r="S131" i="8" l="1"/>
  <c r="U131" i="8" s="1"/>
  <c r="Q131" i="8"/>
  <c r="C131" i="8" s="1"/>
  <c r="P132" i="8"/>
  <c r="U130" i="8"/>
  <c r="R131" i="8"/>
  <c r="S132" i="8" l="1"/>
  <c r="U132" i="8" s="1"/>
  <c r="Q132" i="8"/>
  <c r="C132" i="8" s="1"/>
  <c r="P133" i="8"/>
  <c r="V131" i="8"/>
  <c r="R132" i="8" s="1"/>
  <c r="V132" i="8" s="1"/>
  <c r="S133" i="8" l="1"/>
  <c r="U133" i="8" s="1"/>
  <c r="Q133" i="8"/>
  <c r="C133" i="8" s="1"/>
  <c r="P134" i="8"/>
  <c r="R133" i="8"/>
  <c r="V133" i="8" s="1"/>
  <c r="V134" i="8" l="1"/>
  <c r="Q134" i="8"/>
  <c r="C134" i="8" s="1"/>
  <c r="S134" i="8"/>
  <c r="U134" i="8" s="1"/>
  <c r="R134" i="8"/>
  <c r="P135" i="8"/>
  <c r="V135" i="8" l="1"/>
  <c r="Q135" i="8"/>
  <c r="C135" i="8" s="1"/>
  <c r="S135" i="8"/>
  <c r="U135" i="8" s="1"/>
  <c r="R135" i="8"/>
  <c r="P136" i="8"/>
  <c r="V136" i="8" l="1"/>
  <c r="Q136" i="8"/>
  <c r="C136" i="8" s="1"/>
  <c r="S136" i="8"/>
  <c r="U136" i="8" s="1"/>
  <c r="R136" i="8"/>
  <c r="P137" i="8"/>
  <c r="V137" i="8" l="1"/>
  <c r="Q137" i="8"/>
  <c r="C137" i="8" s="1"/>
  <c r="S137" i="8"/>
  <c r="U137" i="8" s="1"/>
  <c r="R137" i="8"/>
  <c r="P138" i="8"/>
  <c r="V138" i="8" l="1"/>
  <c r="Q138" i="8"/>
  <c r="C138" i="8" s="1"/>
  <c r="S138" i="8"/>
  <c r="U138" i="8" s="1"/>
  <c r="R138" i="8"/>
  <c r="P139" i="8"/>
  <c r="V139" i="8" l="1"/>
  <c r="Q139" i="8"/>
  <c r="C139" i="8" s="1"/>
  <c r="S139" i="8"/>
  <c r="U139" i="8" s="1"/>
  <c r="R139" i="8"/>
  <c r="P140" i="8"/>
  <c r="V140" i="8" l="1"/>
  <c r="Q140" i="8"/>
  <c r="C140" i="8" s="1"/>
  <c r="S140" i="8"/>
  <c r="U140" i="8" s="1"/>
  <c r="R140" i="8"/>
  <c r="P141" i="8"/>
  <c r="V141" i="8" l="1"/>
  <c r="Q141" i="8"/>
  <c r="C141" i="8" s="1"/>
  <c r="S141" i="8"/>
  <c r="U141" i="8" s="1"/>
  <c r="R141" i="8"/>
  <c r="P142" i="8"/>
  <c r="V142" i="8" l="1"/>
  <c r="Q142" i="8"/>
  <c r="C142" i="8" s="1"/>
  <c r="S142" i="8"/>
  <c r="U142" i="8" s="1"/>
  <c r="R142" i="8"/>
  <c r="P143" i="8"/>
  <c r="V143" i="8" l="1"/>
  <c r="Q143" i="8"/>
  <c r="C143" i="8" s="1"/>
  <c r="S143" i="8"/>
  <c r="U143" i="8" s="1"/>
  <c r="R143" i="8"/>
  <c r="P144" i="8"/>
  <c r="V144" i="8" l="1"/>
  <c r="Q144" i="8"/>
  <c r="C144" i="8" s="1"/>
  <c r="S144" i="8"/>
  <c r="U144" i="8" s="1"/>
  <c r="R144" i="8"/>
  <c r="P145" i="8"/>
  <c r="V145" i="8" l="1"/>
  <c r="Q145" i="8"/>
  <c r="C145" i="8" s="1"/>
  <c r="S145" i="8"/>
  <c r="U145" i="8" s="1"/>
  <c r="R145" i="8"/>
  <c r="P146" i="8"/>
  <c r="V146" i="8" l="1"/>
  <c r="Q146" i="8"/>
  <c r="C146" i="8" s="1"/>
  <c r="S146" i="8"/>
  <c r="U146" i="8" s="1"/>
  <c r="R146" i="8"/>
  <c r="P147" i="8"/>
  <c r="V147" i="8" l="1"/>
  <c r="Q147" i="8"/>
  <c r="C147" i="8" s="1"/>
  <c r="S147" i="8"/>
  <c r="U147" i="8" s="1"/>
  <c r="R147" i="8"/>
  <c r="P148" i="8"/>
  <c r="V148" i="8" l="1"/>
  <c r="Q148" i="8"/>
  <c r="C148" i="8" s="1"/>
  <c r="S148" i="8"/>
  <c r="U148" i="8" s="1"/>
  <c r="R148" i="8"/>
  <c r="P149" i="8"/>
  <c r="V149" i="8" l="1"/>
  <c r="Q149" i="8"/>
  <c r="C149" i="8" s="1"/>
  <c r="S149" i="8"/>
  <c r="U149" i="8" s="1"/>
  <c r="R149" i="8"/>
  <c r="P150" i="8"/>
  <c r="V150" i="8" l="1"/>
  <c r="Q150" i="8"/>
  <c r="C150" i="8" s="1"/>
  <c r="S150" i="8"/>
  <c r="U150" i="8" s="1"/>
  <c r="R150" i="8"/>
  <c r="P151" i="8"/>
  <c r="V151" i="8" l="1"/>
  <c r="Q151" i="8"/>
  <c r="C151" i="8" s="1"/>
  <c r="S151" i="8"/>
  <c r="U151" i="8" s="1"/>
  <c r="R151" i="8"/>
  <c r="P152" i="8"/>
  <c r="V152" i="8" l="1"/>
  <c r="Q152" i="8"/>
  <c r="C152" i="8" s="1"/>
  <c r="S152" i="8"/>
  <c r="U152" i="8" s="1"/>
  <c r="R152" i="8"/>
  <c r="P153" i="8"/>
  <c r="V153" i="8" l="1"/>
  <c r="Q153" i="8"/>
  <c r="C153" i="8" s="1"/>
  <c r="S153" i="8"/>
  <c r="U153" i="8" s="1"/>
  <c r="R153" i="8"/>
  <c r="P154" i="8"/>
  <c r="V154" i="8" l="1"/>
  <c r="Q154" i="8"/>
  <c r="C154" i="8" s="1"/>
  <c r="S154" i="8"/>
  <c r="U154" i="8" s="1"/>
  <c r="R154" i="8"/>
  <c r="P155" i="8"/>
  <c r="V155" i="8" l="1"/>
  <c r="Q155" i="8"/>
  <c r="C155" i="8" s="1"/>
  <c r="S155" i="8"/>
  <c r="U155" i="8" s="1"/>
  <c r="R155" i="8"/>
  <c r="P156" i="8"/>
  <c r="V156" i="8" l="1"/>
  <c r="Q156" i="8"/>
  <c r="C156" i="8" s="1"/>
  <c r="S156" i="8"/>
  <c r="U156" i="8" s="1"/>
  <c r="R156" i="8"/>
  <c r="P157" i="8"/>
  <c r="V157" i="8" l="1"/>
  <c r="Q157" i="8"/>
  <c r="C157" i="8" s="1"/>
  <c r="S157" i="8"/>
  <c r="U157" i="8" s="1"/>
  <c r="R157" i="8"/>
  <c r="P158" i="8"/>
  <c r="V158" i="8" l="1"/>
  <c r="Q158" i="8"/>
  <c r="C158" i="8" s="1"/>
  <c r="S158" i="8"/>
  <c r="U158" i="8" s="1"/>
  <c r="R158" i="8"/>
  <c r="P159" i="8"/>
  <c r="V159" i="8" l="1"/>
  <c r="Q159" i="8"/>
  <c r="C159" i="8" s="1"/>
  <c r="S159" i="8"/>
  <c r="U159" i="8" s="1"/>
  <c r="R159" i="8"/>
  <c r="P160" i="8"/>
  <c r="V160" i="8" l="1"/>
  <c r="Q160" i="8"/>
  <c r="C160" i="8" s="1"/>
  <c r="S160" i="8"/>
  <c r="U160" i="8" s="1"/>
  <c r="R160" i="8"/>
  <c r="P161" i="8"/>
  <c r="V161" i="8" l="1"/>
  <c r="Q161" i="8"/>
  <c r="C161" i="8" s="1"/>
  <c r="S161" i="8"/>
  <c r="U161" i="8" s="1"/>
  <c r="R161" i="8"/>
  <c r="P162" i="8"/>
  <c r="V162" i="8" l="1"/>
  <c r="Q162" i="8"/>
  <c r="C162" i="8" s="1"/>
  <c r="S162" i="8"/>
  <c r="U162" i="8" s="1"/>
  <c r="R162" i="8"/>
  <c r="P163" i="8"/>
  <c r="V163" i="8" l="1"/>
  <c r="Q163" i="8"/>
  <c r="C163" i="8" s="1"/>
  <c r="S163" i="8"/>
  <c r="U163" i="8" s="1"/>
  <c r="R163" i="8"/>
  <c r="P164" i="8"/>
  <c r="V164" i="8" l="1"/>
  <c r="Q164" i="8"/>
  <c r="C164" i="8" s="1"/>
  <c r="S164" i="8"/>
  <c r="U164" i="8" s="1"/>
  <c r="R164" i="8"/>
  <c r="P165" i="8"/>
  <c r="V165" i="8" l="1"/>
  <c r="Q165" i="8"/>
  <c r="C165" i="8" s="1"/>
  <c r="S165" i="8"/>
  <c r="U165" i="8" s="1"/>
  <c r="R165" i="8"/>
  <c r="P166" i="8"/>
  <c r="V166" i="8" l="1"/>
  <c r="Q166" i="8"/>
  <c r="C166" i="8" s="1"/>
  <c r="S166" i="8"/>
  <c r="U166" i="8" s="1"/>
  <c r="R166" i="8"/>
  <c r="P167" i="8"/>
  <c r="V167" i="8" l="1"/>
  <c r="Q167" i="8"/>
  <c r="C167" i="8" s="1"/>
  <c r="S167" i="8"/>
  <c r="U167" i="8" s="1"/>
  <c r="R167" i="8"/>
  <c r="P168" i="8"/>
  <c r="V168" i="8" l="1"/>
  <c r="Q168" i="8"/>
  <c r="C168" i="8" s="1"/>
  <c r="S168" i="8"/>
  <c r="U168" i="8" s="1"/>
  <c r="R168" i="8"/>
  <c r="P169" i="8"/>
  <c r="V169" i="8" l="1"/>
  <c r="Q169" i="8"/>
  <c r="C169" i="8" s="1"/>
  <c r="S169" i="8"/>
  <c r="U169" i="8" s="1"/>
  <c r="R169" i="8"/>
  <c r="P170" i="8"/>
  <c r="V170" i="8" l="1"/>
  <c r="Q170" i="8"/>
  <c r="C170" i="8" s="1"/>
  <c r="S170" i="8"/>
  <c r="U170" i="8" s="1"/>
  <c r="R170" i="8"/>
  <c r="P171" i="8"/>
  <c r="V171" i="8" l="1"/>
  <c r="Q171" i="8"/>
  <c r="C171" i="8" s="1"/>
  <c r="S171" i="8"/>
  <c r="U171" i="8" s="1"/>
  <c r="R171" i="8"/>
  <c r="P172" i="8"/>
  <c r="V172" i="8" l="1"/>
  <c r="Q172" i="8"/>
  <c r="C172" i="8" s="1"/>
  <c r="S172" i="8"/>
  <c r="U172" i="8" s="1"/>
  <c r="R172" i="8"/>
  <c r="P173" i="8"/>
  <c r="V173" i="8" l="1"/>
  <c r="Q173" i="8"/>
  <c r="C173" i="8" s="1"/>
  <c r="S173" i="8"/>
  <c r="U173" i="8" s="1"/>
  <c r="R173" i="8"/>
  <c r="P174" i="8"/>
  <c r="V174" i="8" l="1"/>
  <c r="Q174" i="8"/>
  <c r="C174" i="8" s="1"/>
  <c r="S174" i="8"/>
  <c r="U174" i="8" s="1"/>
  <c r="R174" i="8"/>
  <c r="P175" i="8"/>
  <c r="V175" i="8" l="1"/>
  <c r="Q175" i="8"/>
  <c r="C175" i="8" s="1"/>
  <c r="S175" i="8"/>
  <c r="U175" i="8" s="1"/>
  <c r="R175" i="8"/>
  <c r="P176" i="8"/>
  <c r="V176" i="8" l="1"/>
  <c r="Q176" i="8"/>
  <c r="C176" i="8" s="1"/>
  <c r="S176" i="8"/>
  <c r="U176" i="8" s="1"/>
  <c r="R176" i="8"/>
  <c r="P177" i="8"/>
  <c r="V177" i="8" l="1"/>
  <c r="Q177" i="8"/>
  <c r="C177" i="8" s="1"/>
  <c r="S177" i="8"/>
  <c r="U177" i="8" s="1"/>
  <c r="R177" i="8"/>
  <c r="P178" i="8"/>
  <c r="V178" i="8" l="1"/>
  <c r="Q178" i="8"/>
  <c r="C178" i="8" s="1"/>
  <c r="S178" i="8"/>
  <c r="U178" i="8" s="1"/>
  <c r="R178" i="8"/>
  <c r="P179" i="8"/>
  <c r="V179" i="8" l="1"/>
  <c r="Q179" i="8"/>
  <c r="C179" i="8" s="1"/>
  <c r="S179" i="8"/>
  <c r="U179" i="8" s="1"/>
  <c r="R179" i="8"/>
  <c r="P180" i="8"/>
  <c r="V180" i="8" l="1"/>
  <c r="Q180" i="8"/>
  <c r="C180" i="8" s="1"/>
  <c r="S180" i="8"/>
  <c r="U180" i="8" s="1"/>
  <c r="R180" i="8"/>
  <c r="P181" i="8"/>
  <c r="V181" i="8" l="1"/>
  <c r="Q181" i="8"/>
  <c r="C181" i="8" s="1"/>
  <c r="S181" i="8"/>
  <c r="U181" i="8" s="1"/>
  <c r="R181" i="8"/>
  <c r="P182" i="8"/>
  <c r="V182" i="8" l="1"/>
  <c r="Q182" i="8"/>
  <c r="C182" i="8" s="1"/>
  <c r="S182" i="8"/>
  <c r="U182" i="8" s="1"/>
  <c r="R182" i="8"/>
  <c r="P183" i="8"/>
  <c r="V183" i="8" l="1"/>
  <c r="Q183" i="8"/>
  <c r="C183" i="8" s="1"/>
  <c r="S183" i="8"/>
  <c r="U183" i="8" s="1"/>
  <c r="R183" i="8"/>
  <c r="P184" i="8"/>
  <c r="V184" i="8" l="1"/>
  <c r="Q184" i="8"/>
  <c r="C184" i="8" s="1"/>
  <c r="S184" i="8"/>
  <c r="U184" i="8" s="1"/>
  <c r="R184" i="8"/>
  <c r="P185" i="8"/>
  <c r="V185" i="8" l="1"/>
  <c r="Q185" i="8"/>
  <c r="C185" i="8" s="1"/>
  <c r="S185" i="8"/>
  <c r="U185" i="8" s="1"/>
  <c r="R185" i="8"/>
  <c r="P186" i="8"/>
  <c r="V186" i="8" l="1"/>
  <c r="Q186" i="8"/>
  <c r="C186" i="8" s="1"/>
  <c r="S186" i="8"/>
  <c r="U186" i="8" s="1"/>
  <c r="R186" i="8"/>
  <c r="P187" i="8"/>
  <c r="V187" i="8" l="1"/>
  <c r="Q187" i="8"/>
  <c r="C187" i="8" s="1"/>
  <c r="S187" i="8"/>
  <c r="U187" i="8" s="1"/>
  <c r="R187" i="8"/>
  <c r="P188" i="8"/>
  <c r="V188" i="8" l="1"/>
  <c r="Q188" i="8"/>
  <c r="C188" i="8" s="1"/>
  <c r="S188" i="8"/>
  <c r="U188" i="8" s="1"/>
  <c r="R188" i="8"/>
  <c r="P189" i="8"/>
  <c r="V189" i="8" l="1"/>
  <c r="Q189" i="8"/>
  <c r="C189" i="8" s="1"/>
  <c r="S189" i="8"/>
  <c r="U189" i="8" s="1"/>
  <c r="R189" i="8"/>
  <c r="P190" i="8"/>
  <c r="V190" i="8" l="1"/>
  <c r="Q190" i="8"/>
  <c r="C190" i="8" s="1"/>
  <c r="S190" i="8"/>
  <c r="U190" i="8" s="1"/>
  <c r="R190" i="8"/>
  <c r="P191" i="8"/>
  <c r="V191" i="8" l="1"/>
  <c r="Q191" i="8"/>
  <c r="C191" i="8" s="1"/>
  <c r="S191" i="8"/>
  <c r="U191" i="8" s="1"/>
  <c r="R191" i="8"/>
  <c r="P192" i="8"/>
  <c r="V192" i="8" l="1"/>
  <c r="Q192" i="8"/>
  <c r="C192" i="8" s="1"/>
  <c r="S192" i="8"/>
  <c r="U192" i="8" s="1"/>
  <c r="R192" i="8"/>
  <c r="P193" i="8"/>
  <c r="V193" i="8" l="1"/>
  <c r="Q193" i="8"/>
  <c r="C193" i="8" s="1"/>
  <c r="S193" i="8"/>
  <c r="U193" i="8" s="1"/>
  <c r="R193" i="8"/>
  <c r="P194" i="8"/>
  <c r="V194" i="8" l="1"/>
  <c r="Q194" i="8"/>
  <c r="C194" i="8" s="1"/>
  <c r="S194" i="8"/>
  <c r="U194" i="8" s="1"/>
  <c r="R194" i="8"/>
  <c r="P195" i="8"/>
  <c r="V195" i="8" l="1"/>
  <c r="Q195" i="8"/>
  <c r="C195" i="8" s="1"/>
  <c r="S195" i="8"/>
  <c r="U195" i="8" s="1"/>
  <c r="R195" i="8"/>
  <c r="P196" i="8"/>
  <c r="V196" i="8" l="1"/>
  <c r="Q196" i="8"/>
  <c r="C196" i="8" s="1"/>
  <c r="S196" i="8"/>
  <c r="U196" i="8" s="1"/>
  <c r="R196" i="8"/>
  <c r="P197" i="8"/>
  <c r="V197" i="8" l="1"/>
  <c r="Q197" i="8"/>
  <c r="C197" i="8" s="1"/>
  <c r="S197" i="8"/>
  <c r="U197" i="8" s="1"/>
  <c r="R197" i="8"/>
  <c r="P198" i="8"/>
  <c r="V198" i="8" l="1"/>
  <c r="Q198" i="8"/>
  <c r="C198" i="8" s="1"/>
  <c r="S198" i="8"/>
  <c r="U198" i="8" s="1"/>
  <c r="R198" i="8"/>
  <c r="P199" i="8"/>
  <c r="V199" i="8" l="1"/>
  <c r="Q199" i="8"/>
  <c r="C199" i="8" s="1"/>
  <c r="S199" i="8"/>
  <c r="U199" i="8" s="1"/>
  <c r="R199" i="8"/>
  <c r="P200" i="8"/>
  <c r="V200" i="8" l="1"/>
  <c r="Q200" i="8"/>
  <c r="C200" i="8" s="1"/>
  <c r="S200" i="8"/>
  <c r="U200" i="8" s="1"/>
  <c r="R200" i="8"/>
  <c r="P201" i="8"/>
  <c r="V201" i="8" l="1"/>
  <c r="Q201" i="8"/>
  <c r="C201" i="8" s="1"/>
  <c r="S201" i="8"/>
  <c r="U201" i="8" s="1"/>
  <c r="R201" i="8"/>
  <c r="P202" i="8"/>
  <c r="V202" i="8" l="1"/>
  <c r="Q202" i="8"/>
  <c r="C202" i="8" s="1"/>
  <c r="S202" i="8"/>
  <c r="U202" i="8" s="1"/>
  <c r="R202" i="8"/>
  <c r="P203" i="8"/>
  <c r="V203" i="8" l="1"/>
  <c r="Q203" i="8"/>
  <c r="C203" i="8" s="1"/>
  <c r="S203" i="8"/>
  <c r="U203" i="8" s="1"/>
  <c r="R203" i="8"/>
  <c r="P204" i="8"/>
  <c r="V204" i="8" l="1"/>
  <c r="Q204" i="8"/>
  <c r="C204" i="8" s="1"/>
  <c r="S204" i="8"/>
  <c r="U204" i="8" s="1"/>
  <c r="R204" i="8"/>
  <c r="P205" i="8"/>
  <c r="V205" i="8" l="1"/>
  <c r="Q205" i="8"/>
  <c r="C205" i="8" s="1"/>
  <c r="S205" i="8"/>
  <c r="U205" i="8" s="1"/>
  <c r="R205" i="8"/>
  <c r="P206" i="8"/>
  <c r="V206" i="8" l="1"/>
  <c r="Q206" i="8"/>
  <c r="C206" i="8" s="1"/>
  <c r="S206" i="8"/>
  <c r="U206" i="8" s="1"/>
  <c r="R206" i="8"/>
  <c r="P207" i="8"/>
  <c r="V207" i="8" l="1"/>
  <c r="Q207" i="8"/>
  <c r="C207" i="8" s="1"/>
  <c r="S207" i="8"/>
  <c r="U207" i="8" s="1"/>
  <c r="R207" i="8"/>
  <c r="P208" i="8"/>
  <c r="V208" i="8" l="1"/>
  <c r="Q208" i="8"/>
  <c r="C208" i="8" s="1"/>
  <c r="S208" i="8"/>
  <c r="U208" i="8" s="1"/>
  <c r="R208" i="8"/>
  <c r="P209" i="8"/>
  <c r="V209" i="8" l="1"/>
  <c r="Q209" i="8"/>
  <c r="C209" i="8" s="1"/>
  <c r="S209" i="8"/>
  <c r="U209" i="8" s="1"/>
  <c r="R209" i="8"/>
  <c r="P210" i="8"/>
  <c r="V210" i="8" l="1"/>
  <c r="Q210" i="8"/>
  <c r="C210" i="8" s="1"/>
  <c r="S210" i="8"/>
  <c r="U210" i="8" s="1"/>
  <c r="R210" i="8"/>
  <c r="P211" i="8"/>
  <c r="V211" i="8" l="1"/>
  <c r="Q211" i="8"/>
  <c r="C211" i="8" s="1"/>
  <c r="S211" i="8"/>
  <c r="U211" i="8" s="1"/>
  <c r="R211" i="8"/>
  <c r="P212" i="8"/>
  <c r="V212" i="8" l="1"/>
  <c r="Q212" i="8"/>
  <c r="C212" i="8" s="1"/>
  <c r="S212" i="8"/>
  <c r="U212" i="8" s="1"/>
  <c r="R212" i="8"/>
  <c r="P213" i="8"/>
  <c r="V213" i="8" l="1"/>
  <c r="Q213" i="8"/>
  <c r="C213" i="8" s="1"/>
  <c r="S213" i="8"/>
  <c r="U213" i="8" s="1"/>
  <c r="R213" i="8"/>
  <c r="P214" i="8"/>
  <c r="V214" i="8" l="1"/>
  <c r="Q214" i="8"/>
  <c r="C214" i="8" s="1"/>
  <c r="S214" i="8"/>
  <c r="U214" i="8" s="1"/>
  <c r="R214" i="8"/>
  <c r="P215" i="8"/>
  <c r="V215" i="8" l="1"/>
  <c r="Q215" i="8"/>
  <c r="C215" i="8" s="1"/>
  <c r="S215" i="8"/>
  <c r="U215" i="8" s="1"/>
  <c r="R215" i="8"/>
  <c r="P216" i="8"/>
  <c r="V216" i="8" l="1"/>
  <c r="Q216" i="8"/>
  <c r="C216" i="8" s="1"/>
  <c r="S216" i="8"/>
  <c r="U216" i="8" s="1"/>
  <c r="R216" i="8"/>
  <c r="P217" i="8"/>
  <c r="V217" i="8" l="1"/>
  <c r="Q217" i="8"/>
  <c r="C217" i="8" s="1"/>
  <c r="S217" i="8"/>
  <c r="U217" i="8" s="1"/>
  <c r="R217" i="8"/>
  <c r="P218" i="8"/>
  <c r="V218" i="8" l="1"/>
  <c r="Q218" i="8"/>
  <c r="C218" i="8" s="1"/>
  <c r="S218" i="8"/>
  <c r="U218" i="8" s="1"/>
  <c r="R218" i="8"/>
  <c r="P219" i="8"/>
  <c r="V219" i="8" l="1"/>
  <c r="Q219" i="8"/>
  <c r="C219" i="8" s="1"/>
  <c r="S219" i="8"/>
  <c r="U219" i="8" s="1"/>
  <c r="R219" i="8"/>
  <c r="P220" i="8"/>
  <c r="V220" i="8" l="1"/>
  <c r="Q220" i="8"/>
  <c r="C220" i="8" s="1"/>
  <c r="S220" i="8"/>
  <c r="U220" i="8" s="1"/>
  <c r="R220" i="8"/>
  <c r="P221" i="8"/>
  <c r="V221" i="8" l="1"/>
  <c r="Q221" i="8"/>
  <c r="C221" i="8" s="1"/>
  <c r="S221" i="8"/>
  <c r="U221" i="8" s="1"/>
  <c r="R221" i="8"/>
  <c r="P222" i="8"/>
  <c r="V222" i="8" l="1"/>
  <c r="Q222" i="8"/>
  <c r="C222" i="8" s="1"/>
  <c r="S222" i="8"/>
  <c r="U222" i="8" s="1"/>
  <c r="R222" i="8"/>
  <c r="P223" i="8"/>
  <c r="V223" i="8" l="1"/>
  <c r="Q223" i="8"/>
  <c r="C223" i="8" s="1"/>
  <c r="S223" i="8"/>
  <c r="U223" i="8" s="1"/>
  <c r="R223" i="8"/>
  <c r="P224" i="8"/>
  <c r="V224" i="8" l="1"/>
  <c r="Q224" i="8"/>
  <c r="C224" i="8" s="1"/>
  <c r="S224" i="8"/>
  <c r="U224" i="8" s="1"/>
  <c r="R224" i="8"/>
  <c r="P225" i="8"/>
  <c r="V225" i="8" l="1"/>
  <c r="Q225" i="8"/>
  <c r="C225" i="8" s="1"/>
  <c r="S225" i="8"/>
  <c r="U225" i="8" s="1"/>
  <c r="R225" i="8"/>
  <c r="P226" i="8"/>
  <c r="V226" i="8" l="1"/>
  <c r="Q226" i="8"/>
  <c r="C226" i="8" s="1"/>
  <c r="S226" i="8"/>
  <c r="U226" i="8" s="1"/>
  <c r="R226" i="8"/>
  <c r="P227" i="8"/>
  <c r="V227" i="8" l="1"/>
  <c r="Q227" i="8"/>
  <c r="C227" i="8" s="1"/>
  <c r="S227" i="8"/>
  <c r="U227" i="8" s="1"/>
  <c r="R227" i="8"/>
  <c r="P228" i="8"/>
  <c r="V228" i="8" l="1"/>
  <c r="Q228" i="8"/>
  <c r="C228" i="8" s="1"/>
  <c r="S228" i="8"/>
  <c r="U228" i="8" s="1"/>
  <c r="R228" i="8"/>
  <c r="P229" i="8"/>
  <c r="V229" i="8" l="1"/>
  <c r="Q229" i="8"/>
  <c r="C229" i="8" s="1"/>
  <c r="S229" i="8"/>
  <c r="U229" i="8" s="1"/>
  <c r="R229" i="8"/>
  <c r="P230" i="8"/>
  <c r="V230" i="8" l="1"/>
  <c r="Q230" i="8"/>
  <c r="C230" i="8" s="1"/>
  <c r="S230" i="8"/>
  <c r="U230" i="8" s="1"/>
  <c r="R230" i="8"/>
  <c r="P231" i="8"/>
  <c r="V231" i="8" l="1"/>
  <c r="Q231" i="8"/>
  <c r="C231" i="8" s="1"/>
  <c r="S231" i="8"/>
  <c r="U231" i="8" s="1"/>
  <c r="R231" i="8"/>
  <c r="P232" i="8"/>
  <c r="V232" i="8" l="1"/>
  <c r="Q232" i="8"/>
  <c r="C232" i="8" s="1"/>
  <c r="S232" i="8"/>
  <c r="U232" i="8" s="1"/>
  <c r="R232" i="8"/>
  <c r="P233" i="8"/>
  <c r="V233" i="8" l="1"/>
  <c r="Q233" i="8"/>
  <c r="C233" i="8" s="1"/>
  <c r="S233" i="8"/>
  <c r="U233" i="8" s="1"/>
  <c r="R233" i="8"/>
  <c r="P234" i="8"/>
  <c r="V234" i="8" l="1"/>
  <c r="Q234" i="8"/>
  <c r="C234" i="8" s="1"/>
  <c r="S234" i="8"/>
  <c r="U234" i="8" s="1"/>
  <c r="R234" i="8"/>
  <c r="P235" i="8"/>
  <c r="V235" i="8" l="1"/>
  <c r="Q235" i="8"/>
  <c r="C235" i="8" s="1"/>
  <c r="S235" i="8"/>
  <c r="U235" i="8" s="1"/>
  <c r="R235" i="8"/>
  <c r="P236" i="8"/>
  <c r="V236" i="8" l="1"/>
  <c r="Q236" i="8"/>
  <c r="C236" i="8" s="1"/>
  <c r="S236" i="8"/>
  <c r="U236" i="8" s="1"/>
  <c r="R236" i="8"/>
  <c r="P237" i="8"/>
  <c r="V237" i="8" l="1"/>
  <c r="Q237" i="8"/>
  <c r="C237" i="8" s="1"/>
  <c r="S237" i="8"/>
  <c r="U237" i="8" s="1"/>
  <c r="R237" i="8"/>
  <c r="P238" i="8"/>
  <c r="V238" i="8" l="1"/>
  <c r="Q238" i="8"/>
  <c r="C238" i="8" s="1"/>
  <c r="S238" i="8"/>
  <c r="U238" i="8" s="1"/>
  <c r="R238" i="8"/>
  <c r="P239" i="8"/>
  <c r="V239" i="8" l="1"/>
  <c r="Q239" i="8"/>
  <c r="C239" i="8" s="1"/>
  <c r="S239" i="8"/>
  <c r="U239" i="8" s="1"/>
  <c r="R239" i="8"/>
  <c r="P240" i="8"/>
  <c r="V240" i="8" l="1"/>
  <c r="Q240" i="8"/>
  <c r="C240" i="8" s="1"/>
  <c r="S240" i="8"/>
  <c r="U240" i="8" s="1"/>
  <c r="R240" i="8"/>
  <c r="P241" i="8"/>
  <c r="V241" i="8" l="1"/>
  <c r="Q241" i="8"/>
  <c r="C241" i="8" s="1"/>
  <c r="S241" i="8"/>
  <c r="U241" i="8" s="1"/>
  <c r="R241" i="8"/>
  <c r="P242" i="8"/>
  <c r="V242" i="8" l="1"/>
  <c r="Q242" i="8"/>
  <c r="C242" i="8" s="1"/>
  <c r="S242" i="8"/>
  <c r="U242" i="8" s="1"/>
  <c r="R242" i="8"/>
  <c r="P243" i="8"/>
  <c r="V243" i="8" l="1"/>
  <c r="Q243" i="8"/>
  <c r="C243" i="8" s="1"/>
  <c r="S243" i="8"/>
  <c r="U243" i="8" s="1"/>
  <c r="R243" i="8"/>
  <c r="P244" i="8"/>
  <c r="V244" i="8" l="1"/>
  <c r="Q244" i="8"/>
  <c r="C244" i="8" s="1"/>
  <c r="S244" i="8"/>
  <c r="U244" i="8" s="1"/>
  <c r="R244" i="8"/>
  <c r="P245" i="8"/>
  <c r="V245" i="8" l="1"/>
  <c r="Q245" i="8"/>
  <c r="C245" i="8" s="1"/>
  <c r="S245" i="8"/>
  <c r="U245" i="8" s="1"/>
  <c r="R245" i="8"/>
  <c r="P246" i="8"/>
  <c r="V246" i="8" l="1"/>
  <c r="Q246" i="8"/>
  <c r="C246" i="8" s="1"/>
  <c r="S246" i="8"/>
  <c r="U246" i="8" s="1"/>
  <c r="R246" i="8"/>
  <c r="P247" i="8"/>
  <c r="V247" i="8" l="1"/>
  <c r="Q247" i="8"/>
  <c r="C247" i="8" s="1"/>
  <c r="S247" i="8"/>
  <c r="U247" i="8" s="1"/>
  <c r="R247" i="8"/>
  <c r="P248" i="8"/>
  <c r="V248" i="8" l="1"/>
  <c r="Q248" i="8"/>
  <c r="C248" i="8" s="1"/>
  <c r="S248" i="8"/>
  <c r="U248" i="8" s="1"/>
  <c r="R248" i="8"/>
  <c r="P249" i="8"/>
  <c r="V249" i="8" l="1"/>
  <c r="Q249" i="8"/>
  <c r="C249" i="8" s="1"/>
  <c r="S249" i="8"/>
  <c r="U249" i="8" s="1"/>
  <c r="R249" i="8"/>
  <c r="P250" i="8"/>
  <c r="V250" i="8" l="1"/>
  <c r="Q250" i="8"/>
  <c r="C250" i="8" s="1"/>
  <c r="S250" i="8"/>
  <c r="U250" i="8" s="1"/>
  <c r="R250" i="8"/>
  <c r="P251" i="8"/>
  <c r="V251" i="8" l="1"/>
  <c r="Q251" i="8"/>
  <c r="C251" i="8" s="1"/>
  <c r="S251" i="8"/>
  <c r="U251" i="8" s="1"/>
  <c r="R251" i="8"/>
  <c r="P252" i="8"/>
  <c r="V252" i="8" l="1"/>
  <c r="Q252" i="8"/>
  <c r="C252" i="8" s="1"/>
  <c r="S252" i="8"/>
  <c r="U252" i="8" s="1"/>
  <c r="R252" i="8"/>
  <c r="P253" i="8"/>
  <c r="V253" i="8" l="1"/>
  <c r="Q253" i="8"/>
  <c r="C253" i="8" s="1"/>
  <c r="S253" i="8"/>
  <c r="U253" i="8" s="1"/>
  <c r="R253" i="8"/>
  <c r="P254" i="8"/>
  <c r="V254" i="8" l="1"/>
  <c r="Q254" i="8"/>
  <c r="C254" i="8" s="1"/>
  <c r="S254" i="8"/>
  <c r="U254" i="8" s="1"/>
  <c r="R254" i="8"/>
  <c r="P255" i="8"/>
  <c r="V255" i="8" l="1"/>
  <c r="Q255" i="8"/>
  <c r="C255" i="8" s="1"/>
  <c r="S255" i="8"/>
  <c r="U255" i="8" s="1"/>
  <c r="R255" i="8"/>
  <c r="P256" i="8"/>
  <c r="V256" i="8" l="1"/>
  <c r="Q256" i="8"/>
  <c r="C256" i="8" s="1"/>
  <c r="S256" i="8"/>
  <c r="U256" i="8" s="1"/>
  <c r="R256" i="8"/>
  <c r="P257" i="8"/>
  <c r="V257" i="8" l="1"/>
  <c r="Q257" i="8"/>
  <c r="C257" i="8" s="1"/>
  <c r="S257" i="8"/>
  <c r="U257" i="8" s="1"/>
  <c r="R257" i="8"/>
  <c r="P258" i="8"/>
  <c r="V258" i="8" l="1"/>
  <c r="Q258" i="8"/>
  <c r="C258" i="8" s="1"/>
  <c r="S258" i="8"/>
  <c r="U258" i="8" s="1"/>
  <c r="R258" i="8"/>
  <c r="P259" i="8"/>
  <c r="V259" i="8" l="1"/>
  <c r="Q259" i="8"/>
  <c r="C259" i="8" s="1"/>
  <c r="S259" i="8"/>
  <c r="U259" i="8" s="1"/>
  <c r="R259" i="8"/>
  <c r="P260" i="8"/>
  <c r="V260" i="8" l="1"/>
  <c r="Q260" i="8"/>
  <c r="C260" i="8" s="1"/>
  <c r="S260" i="8"/>
  <c r="U260" i="8" s="1"/>
  <c r="R260" i="8"/>
  <c r="P261" i="8"/>
  <c r="V261" i="8" l="1"/>
  <c r="Q261" i="8"/>
  <c r="C261" i="8" s="1"/>
  <c r="S261" i="8"/>
  <c r="U261" i="8" s="1"/>
  <c r="R261" i="8"/>
  <c r="P262" i="8"/>
  <c r="V262" i="8" l="1"/>
  <c r="Q262" i="8"/>
  <c r="C262" i="8" s="1"/>
  <c r="S262" i="8"/>
  <c r="U262" i="8" s="1"/>
  <c r="R262" i="8"/>
  <c r="P263" i="8"/>
  <c r="V263" i="8" l="1"/>
  <c r="Q263" i="8"/>
  <c r="C263" i="8" s="1"/>
  <c r="S263" i="8"/>
  <c r="U263" i="8" s="1"/>
  <c r="R263" i="8"/>
  <c r="P264" i="8"/>
  <c r="V264" i="8" l="1"/>
  <c r="Q264" i="8"/>
  <c r="C264" i="8" s="1"/>
  <c r="S264" i="8"/>
  <c r="U264" i="8" s="1"/>
  <c r="R264" i="8"/>
  <c r="P265" i="8"/>
  <c r="V265" i="8" l="1"/>
  <c r="Q265" i="8"/>
  <c r="C265" i="8" s="1"/>
  <c r="S265" i="8"/>
  <c r="U265" i="8" s="1"/>
  <c r="R265" i="8"/>
  <c r="P266" i="8"/>
  <c r="V266" i="8" l="1"/>
  <c r="Q266" i="8"/>
  <c r="C266" i="8" s="1"/>
  <c r="S266" i="8"/>
  <c r="U266" i="8" s="1"/>
  <c r="R266" i="8"/>
  <c r="P267" i="8"/>
  <c r="V267" i="8" l="1"/>
  <c r="Q267" i="8"/>
  <c r="C267" i="8" s="1"/>
  <c r="S267" i="8"/>
  <c r="U267" i="8" s="1"/>
  <c r="R267" i="8"/>
  <c r="P268" i="8"/>
  <c r="V268" i="8" l="1"/>
  <c r="Q268" i="8"/>
  <c r="C268" i="8" s="1"/>
  <c r="S268" i="8"/>
  <c r="U268" i="8" s="1"/>
  <c r="R268" i="8"/>
  <c r="P269" i="8"/>
  <c r="V269" i="8" l="1"/>
  <c r="Q269" i="8"/>
  <c r="C269" i="8" s="1"/>
  <c r="S269" i="8"/>
  <c r="U269" i="8" s="1"/>
  <c r="R269" i="8"/>
  <c r="P270" i="8"/>
  <c r="V270" i="8" l="1"/>
  <c r="Q270" i="8"/>
  <c r="C270" i="8" s="1"/>
  <c r="S270" i="8"/>
  <c r="U270" i="8" s="1"/>
  <c r="R270" i="8"/>
  <c r="P271" i="8"/>
  <c r="V271" i="8" l="1"/>
  <c r="Q271" i="8"/>
  <c r="C271" i="8" s="1"/>
  <c r="S271" i="8"/>
  <c r="U271" i="8" s="1"/>
  <c r="R271" i="8"/>
  <c r="P272" i="8"/>
  <c r="V272" i="8" l="1"/>
  <c r="Q272" i="8"/>
  <c r="C272" i="8" s="1"/>
  <c r="S272" i="8"/>
  <c r="U272" i="8" s="1"/>
  <c r="R272" i="8"/>
  <c r="P273" i="8"/>
  <c r="V273" i="8" l="1"/>
  <c r="Q273" i="8"/>
  <c r="C273" i="8" s="1"/>
  <c r="S273" i="8"/>
  <c r="U273" i="8" s="1"/>
  <c r="R273" i="8"/>
  <c r="P274" i="8"/>
  <c r="V274" i="8" l="1"/>
  <c r="Q274" i="8"/>
  <c r="C274" i="8" s="1"/>
  <c r="S274" i="8"/>
  <c r="U274" i="8" s="1"/>
  <c r="R274" i="8"/>
  <c r="P275" i="8"/>
  <c r="V275" i="8" l="1"/>
  <c r="Q275" i="8"/>
  <c r="C275" i="8" s="1"/>
  <c r="S275" i="8"/>
  <c r="U275" i="8" s="1"/>
  <c r="R275" i="8"/>
  <c r="P276" i="8"/>
  <c r="V276" i="8" l="1"/>
  <c r="Q276" i="8"/>
  <c r="C276" i="8" s="1"/>
  <c r="S276" i="8"/>
  <c r="U276" i="8" s="1"/>
  <c r="R276" i="8"/>
  <c r="P277" i="8"/>
  <c r="V277" i="8" l="1"/>
  <c r="Q277" i="8"/>
  <c r="C277" i="8" s="1"/>
  <c r="S277" i="8"/>
  <c r="U277" i="8" s="1"/>
  <c r="R277" i="8"/>
  <c r="P278" i="8"/>
  <c r="V278" i="8" l="1"/>
  <c r="Q278" i="8"/>
  <c r="C278" i="8" s="1"/>
  <c r="S278" i="8"/>
  <c r="U278" i="8" s="1"/>
  <c r="R278" i="8"/>
  <c r="P279" i="8"/>
  <c r="V279" i="8" l="1"/>
  <c r="Q279" i="8"/>
  <c r="C279" i="8" s="1"/>
  <c r="S279" i="8"/>
  <c r="U279" i="8" s="1"/>
  <c r="R279" i="8"/>
  <c r="P280" i="8"/>
  <c r="V280" i="8" l="1"/>
  <c r="Q280" i="8"/>
  <c r="C280" i="8" s="1"/>
  <c r="S280" i="8"/>
  <c r="U280" i="8" s="1"/>
  <c r="R280" i="8"/>
  <c r="P281" i="8"/>
  <c r="V281" i="8" l="1"/>
  <c r="Q281" i="8"/>
  <c r="C281" i="8" s="1"/>
  <c r="S281" i="8"/>
  <c r="U281" i="8" s="1"/>
  <c r="R281" i="8"/>
  <c r="P282" i="8"/>
  <c r="V282" i="8" l="1"/>
  <c r="Q282" i="8"/>
  <c r="C282" i="8" s="1"/>
  <c r="S282" i="8"/>
  <c r="U282" i="8" s="1"/>
  <c r="R282" i="8"/>
  <c r="P283" i="8"/>
  <c r="V283" i="8" l="1"/>
  <c r="Q283" i="8"/>
  <c r="C283" i="8" s="1"/>
  <c r="S283" i="8"/>
  <c r="U283" i="8" s="1"/>
  <c r="R283" i="8"/>
  <c r="P284" i="8"/>
  <c r="V284" i="8" l="1"/>
  <c r="Q284" i="8"/>
  <c r="C284" i="8" s="1"/>
  <c r="S284" i="8"/>
  <c r="U284" i="8" s="1"/>
  <c r="R284" i="8"/>
  <c r="P285" i="8"/>
  <c r="V285" i="8" l="1"/>
  <c r="Q285" i="8"/>
  <c r="C285" i="8" s="1"/>
  <c r="S285" i="8"/>
  <c r="U285" i="8" s="1"/>
  <c r="R285" i="8"/>
  <c r="P286" i="8"/>
  <c r="V286" i="8" l="1"/>
  <c r="Q286" i="8"/>
  <c r="C286" i="8" s="1"/>
  <c r="S286" i="8"/>
  <c r="U286" i="8" s="1"/>
  <c r="R286" i="8"/>
  <c r="P287" i="8"/>
  <c r="V287" i="8" l="1"/>
  <c r="Q287" i="8"/>
  <c r="C287" i="8" s="1"/>
  <c r="S287" i="8"/>
  <c r="U287" i="8" s="1"/>
  <c r="R287" i="8"/>
  <c r="P288" i="8"/>
  <c r="V288" i="8" l="1"/>
  <c r="Q288" i="8"/>
  <c r="C288" i="8" s="1"/>
  <c r="S288" i="8"/>
  <c r="U288" i="8" s="1"/>
  <c r="R288" i="8"/>
  <c r="P289" i="8"/>
  <c r="V289" i="8" l="1"/>
  <c r="Q289" i="8"/>
  <c r="C289" i="8" s="1"/>
  <c r="S289" i="8"/>
  <c r="U289" i="8" s="1"/>
  <c r="R289" i="8"/>
  <c r="P290" i="8"/>
  <c r="V290" i="8" l="1"/>
  <c r="Q290" i="8"/>
  <c r="C290" i="8" s="1"/>
  <c r="S290" i="8"/>
  <c r="U290" i="8" s="1"/>
  <c r="R290" i="8"/>
  <c r="P291" i="8"/>
  <c r="V291" i="8" l="1"/>
  <c r="Q291" i="8"/>
  <c r="C291" i="8" s="1"/>
  <c r="S291" i="8"/>
  <c r="U291" i="8" s="1"/>
  <c r="R291" i="8"/>
  <c r="P292" i="8"/>
  <c r="V292" i="8" l="1"/>
  <c r="Q292" i="8"/>
  <c r="C292" i="8" s="1"/>
  <c r="S292" i="8"/>
  <c r="U292" i="8" s="1"/>
  <c r="R292" i="8"/>
  <c r="P293" i="8"/>
  <c r="V293" i="8" l="1"/>
  <c r="Q293" i="8"/>
  <c r="C293" i="8" s="1"/>
  <c r="S293" i="8"/>
  <c r="U293" i="8" s="1"/>
  <c r="R293" i="8"/>
  <c r="P294" i="8"/>
  <c r="V294" i="8" l="1"/>
  <c r="Q294" i="8"/>
  <c r="C294" i="8" s="1"/>
  <c r="S294" i="8"/>
  <c r="U294" i="8" s="1"/>
  <c r="R294" i="8"/>
  <c r="P295" i="8"/>
  <c r="V295" i="8" l="1"/>
  <c r="Q295" i="8"/>
  <c r="C295" i="8" s="1"/>
  <c r="S295" i="8"/>
  <c r="U295" i="8" s="1"/>
  <c r="R295" i="8"/>
  <c r="P296" i="8"/>
  <c r="V296" i="8" l="1"/>
  <c r="Q296" i="8"/>
  <c r="C296" i="8" s="1"/>
  <c r="S296" i="8"/>
  <c r="U296" i="8" s="1"/>
  <c r="R296" i="8"/>
  <c r="P297" i="8"/>
  <c r="V297" i="8" l="1"/>
  <c r="Q297" i="8"/>
  <c r="C297" i="8" s="1"/>
  <c r="S297" i="8"/>
  <c r="U297" i="8" s="1"/>
  <c r="R297" i="8"/>
  <c r="P298" i="8"/>
  <c r="V298" i="8" l="1"/>
  <c r="Q298" i="8"/>
  <c r="C298" i="8" s="1"/>
  <c r="S298" i="8"/>
  <c r="U298" i="8" s="1"/>
  <c r="R298" i="8"/>
  <c r="P299" i="8"/>
  <c r="V299" i="8" l="1"/>
  <c r="Q299" i="8"/>
  <c r="C299" i="8" s="1"/>
  <c r="S299" i="8"/>
  <c r="U299" i="8" s="1"/>
  <c r="R299" i="8"/>
  <c r="P300" i="8"/>
  <c r="V300" i="8" l="1"/>
  <c r="Q300" i="8"/>
  <c r="C300" i="8" s="1"/>
  <c r="S300" i="8"/>
  <c r="U300" i="8" s="1"/>
  <c r="R300" i="8"/>
  <c r="P301" i="8"/>
  <c r="V301" i="8" l="1"/>
  <c r="Q301" i="8"/>
  <c r="C301" i="8" s="1"/>
  <c r="S301" i="8"/>
  <c r="U301" i="8" s="1"/>
  <c r="R301" i="8"/>
  <c r="P302" i="8"/>
  <c r="V302" i="8" l="1"/>
  <c r="Q302" i="8"/>
  <c r="C302" i="8" s="1"/>
  <c r="S302" i="8"/>
  <c r="U302" i="8" s="1"/>
  <c r="R302" i="8"/>
  <c r="P303" i="8"/>
  <c r="V303" i="8" l="1"/>
  <c r="Q303" i="8"/>
  <c r="C303" i="8" s="1"/>
  <c r="S303" i="8"/>
  <c r="U303" i="8" s="1"/>
  <c r="R303" i="8"/>
  <c r="P304" i="8"/>
  <c r="V304" i="8" l="1"/>
  <c r="Q304" i="8"/>
  <c r="C304" i="8" s="1"/>
  <c r="S304" i="8"/>
  <c r="U304" i="8" s="1"/>
  <c r="R304" i="8"/>
  <c r="P305" i="8"/>
  <c r="V305" i="8" l="1"/>
  <c r="Q305" i="8"/>
  <c r="C305" i="8" s="1"/>
  <c r="S305" i="8"/>
  <c r="U305" i="8" s="1"/>
  <c r="R305" i="8"/>
  <c r="P306" i="8"/>
  <c r="V306" i="8" l="1"/>
  <c r="Q306" i="8"/>
  <c r="C306" i="8" s="1"/>
  <c r="S306" i="8"/>
  <c r="U306" i="8" s="1"/>
  <c r="R306" i="8"/>
  <c r="P307" i="8"/>
  <c r="V307" i="8" l="1"/>
  <c r="Q307" i="8"/>
  <c r="C307" i="8" s="1"/>
  <c r="S307" i="8"/>
  <c r="U307" i="8" s="1"/>
  <c r="R307" i="8"/>
  <c r="P308" i="8"/>
  <c r="V308" i="8" l="1"/>
  <c r="Q308" i="8"/>
  <c r="C308" i="8" s="1"/>
  <c r="S308" i="8"/>
  <c r="U308" i="8" s="1"/>
  <c r="R308" i="8"/>
  <c r="P309" i="8"/>
  <c r="V309" i="8" l="1"/>
  <c r="Q309" i="8"/>
  <c r="C309" i="8" s="1"/>
  <c r="S309" i="8"/>
  <c r="U309" i="8" s="1"/>
  <c r="R309" i="8"/>
  <c r="P310" i="8"/>
  <c r="V310" i="8" l="1"/>
  <c r="Q310" i="8"/>
  <c r="C310" i="8" s="1"/>
  <c r="S310" i="8"/>
  <c r="U310" i="8" s="1"/>
  <c r="R310" i="8"/>
  <c r="P311" i="8"/>
  <c r="V311" i="8" l="1"/>
  <c r="Q311" i="8"/>
  <c r="C311" i="8" s="1"/>
  <c r="S311" i="8"/>
  <c r="U311" i="8" s="1"/>
  <c r="R311" i="8"/>
  <c r="P312" i="8"/>
  <c r="V312" i="8" l="1"/>
  <c r="Q312" i="8"/>
  <c r="C312" i="8" s="1"/>
  <c r="S312" i="8"/>
  <c r="U312" i="8" s="1"/>
  <c r="R312" i="8"/>
  <c r="P313" i="8"/>
  <c r="V313" i="8" l="1"/>
  <c r="Q313" i="8"/>
  <c r="C313" i="8" s="1"/>
  <c r="S313" i="8"/>
  <c r="U313" i="8" s="1"/>
  <c r="R313" i="8"/>
  <c r="P314" i="8"/>
  <c r="V314" i="8" l="1"/>
  <c r="Q314" i="8"/>
  <c r="C314" i="8" s="1"/>
  <c r="S314" i="8"/>
  <c r="U314" i="8" s="1"/>
  <c r="R314" i="8"/>
  <c r="P315" i="8"/>
  <c r="V315" i="8" l="1"/>
  <c r="Q315" i="8"/>
  <c r="C315" i="8" s="1"/>
  <c r="S315" i="8"/>
  <c r="U315" i="8" s="1"/>
  <c r="R315" i="8"/>
  <c r="P316" i="8"/>
  <c r="V316" i="8" l="1"/>
  <c r="Q316" i="8"/>
  <c r="C316" i="8" s="1"/>
  <c r="S316" i="8"/>
  <c r="U316" i="8" s="1"/>
  <c r="R316" i="8"/>
  <c r="P317" i="8"/>
  <c r="V317" i="8" l="1"/>
  <c r="Q317" i="8"/>
  <c r="C317" i="8" s="1"/>
  <c r="S317" i="8"/>
  <c r="U317" i="8" s="1"/>
  <c r="R317" i="8"/>
  <c r="P318" i="8"/>
  <c r="V318" i="8" l="1"/>
  <c r="Q318" i="8"/>
  <c r="C318" i="8" s="1"/>
  <c r="S318" i="8"/>
  <c r="U318" i="8" s="1"/>
  <c r="R318" i="8"/>
  <c r="P319" i="8"/>
  <c r="V319" i="8" l="1"/>
  <c r="Q319" i="8"/>
  <c r="C319" i="8" s="1"/>
  <c r="S319" i="8"/>
  <c r="U319" i="8" s="1"/>
  <c r="R319" i="8"/>
  <c r="P320" i="8"/>
  <c r="V320" i="8" l="1"/>
  <c r="Q320" i="8"/>
  <c r="C320" i="8" s="1"/>
  <c r="S320" i="8"/>
  <c r="U320" i="8" s="1"/>
  <c r="R320" i="8"/>
  <c r="P321" i="8"/>
  <c r="V321" i="8" l="1"/>
  <c r="Q321" i="8"/>
  <c r="C321" i="8" s="1"/>
  <c r="S321" i="8"/>
  <c r="U321" i="8" s="1"/>
  <c r="R321" i="8"/>
  <c r="P322" i="8"/>
  <c r="V322" i="8" l="1"/>
  <c r="Q322" i="8"/>
  <c r="C322" i="8" s="1"/>
  <c r="S322" i="8"/>
  <c r="U322" i="8" s="1"/>
  <c r="R322" i="8"/>
  <c r="P323" i="8"/>
  <c r="V323" i="8" l="1"/>
  <c r="Q323" i="8"/>
  <c r="C323" i="8" s="1"/>
  <c r="S323" i="8"/>
  <c r="U323" i="8" s="1"/>
  <c r="R323" i="8"/>
  <c r="P324" i="8"/>
  <c r="V324" i="8" l="1"/>
  <c r="Q324" i="8"/>
  <c r="C324" i="8" s="1"/>
  <c r="S324" i="8"/>
  <c r="U324" i="8" s="1"/>
  <c r="R324" i="8"/>
  <c r="P325" i="8"/>
  <c r="V325" i="8" l="1"/>
  <c r="Q325" i="8"/>
  <c r="C325" i="8" s="1"/>
  <c r="S325" i="8"/>
  <c r="U325" i="8" s="1"/>
  <c r="R325" i="8"/>
  <c r="P326" i="8"/>
  <c r="V326" i="8" l="1"/>
  <c r="Q326" i="8"/>
  <c r="C326" i="8" s="1"/>
  <c r="S326" i="8"/>
  <c r="U326" i="8" s="1"/>
  <c r="R326" i="8"/>
  <c r="P327" i="8"/>
  <c r="V327" i="8" l="1"/>
  <c r="Q327" i="8"/>
  <c r="C327" i="8" s="1"/>
  <c r="S327" i="8"/>
  <c r="U327" i="8" s="1"/>
  <c r="R327" i="8"/>
  <c r="P328" i="8"/>
  <c r="V328" i="8" l="1"/>
  <c r="Q328" i="8"/>
  <c r="C328" i="8" s="1"/>
  <c r="S328" i="8"/>
  <c r="U328" i="8" s="1"/>
  <c r="R328" i="8"/>
  <c r="P329" i="8"/>
  <c r="V329" i="8" l="1"/>
  <c r="Q329" i="8"/>
  <c r="C329" i="8" s="1"/>
  <c r="S329" i="8"/>
  <c r="U329" i="8" s="1"/>
  <c r="R329" i="8"/>
  <c r="P330" i="8"/>
  <c r="V330" i="8" l="1"/>
  <c r="Q330" i="8"/>
  <c r="C330" i="8" s="1"/>
  <c r="S330" i="8"/>
  <c r="U330" i="8" s="1"/>
  <c r="R330" i="8"/>
  <c r="P331" i="8"/>
  <c r="V331" i="8" l="1"/>
  <c r="Q331" i="8"/>
  <c r="C331" i="8" s="1"/>
  <c r="S331" i="8"/>
  <c r="U331" i="8" s="1"/>
  <c r="R331" i="8"/>
  <c r="P332" i="8"/>
  <c r="V332" i="8" l="1"/>
  <c r="Q332" i="8"/>
  <c r="C332" i="8" s="1"/>
  <c r="S332" i="8"/>
  <c r="U332" i="8" s="1"/>
  <c r="R332" i="8"/>
  <c r="P333" i="8"/>
  <c r="V333" i="8" l="1"/>
  <c r="Q333" i="8"/>
  <c r="C333" i="8" s="1"/>
  <c r="S333" i="8"/>
  <c r="U333" i="8" s="1"/>
  <c r="R333" i="8"/>
  <c r="P334" i="8"/>
  <c r="V334" i="8" l="1"/>
  <c r="Q334" i="8"/>
  <c r="C334" i="8" s="1"/>
  <c r="S334" i="8"/>
  <c r="U334" i="8" s="1"/>
  <c r="R334" i="8"/>
  <c r="P335" i="8"/>
  <c r="V335" i="8" l="1"/>
  <c r="Q335" i="8"/>
  <c r="C335" i="8" s="1"/>
  <c r="S335" i="8"/>
  <c r="U335" i="8" s="1"/>
  <c r="R335" i="8"/>
  <c r="P336" i="8"/>
  <c r="V336" i="8" l="1"/>
  <c r="Q336" i="8"/>
  <c r="C336" i="8" s="1"/>
  <c r="S336" i="8"/>
  <c r="U336" i="8" s="1"/>
  <c r="R336" i="8"/>
  <c r="P337" i="8"/>
  <c r="V337" i="8" l="1"/>
  <c r="Q337" i="8"/>
  <c r="C337" i="8" s="1"/>
  <c r="S337" i="8"/>
  <c r="U337" i="8" s="1"/>
  <c r="R337" i="8"/>
  <c r="P338" i="8"/>
  <c r="V338" i="8" l="1"/>
  <c r="Q338" i="8"/>
  <c r="C338" i="8" s="1"/>
  <c r="S338" i="8"/>
  <c r="U338" i="8" s="1"/>
  <c r="R338" i="8"/>
  <c r="P339" i="8"/>
  <c r="V339" i="8" l="1"/>
  <c r="Q339" i="8"/>
  <c r="C339" i="8" s="1"/>
  <c r="S339" i="8"/>
  <c r="U339" i="8" s="1"/>
  <c r="R339" i="8"/>
  <c r="P340" i="8"/>
  <c r="V340" i="8" l="1"/>
  <c r="Q340" i="8"/>
  <c r="C340" i="8" s="1"/>
  <c r="S340" i="8"/>
  <c r="U340" i="8" s="1"/>
  <c r="R340" i="8"/>
  <c r="P341" i="8"/>
  <c r="V341" i="8" l="1"/>
  <c r="Q341" i="8"/>
  <c r="C341" i="8" s="1"/>
  <c r="L338" i="8"/>
  <c r="N338" i="8"/>
  <c r="S341" i="8"/>
  <c r="U341" i="8" s="1"/>
  <c r="R341" i="8"/>
  <c r="P342" i="8"/>
  <c r="B339" i="8"/>
  <c r="D339" i="8" s="1"/>
  <c r="V342" i="8" l="1"/>
  <c r="Q342" i="8"/>
  <c r="C342" i="8" s="1"/>
  <c r="L339" i="8"/>
  <c r="N339" i="8"/>
  <c r="S342" i="8"/>
  <c r="U342" i="8" s="1"/>
  <c r="R342" i="8"/>
  <c r="P343" i="8"/>
  <c r="B340" i="8"/>
  <c r="D340" i="8" s="1"/>
  <c r="V343" i="8" l="1"/>
  <c r="Q343" i="8"/>
  <c r="C343" i="8" s="1"/>
  <c r="L340" i="8"/>
  <c r="N340" i="8"/>
  <c r="S343" i="8"/>
  <c r="U343" i="8" s="1"/>
  <c r="R343" i="8"/>
  <c r="P344" i="8"/>
  <c r="B341" i="8"/>
  <c r="D341" i="8" s="1"/>
  <c r="V344" i="8" l="1"/>
  <c r="Q344" i="8"/>
  <c r="C344" i="8" s="1"/>
  <c r="L341" i="8"/>
  <c r="N341" i="8"/>
  <c r="S344" i="8"/>
  <c r="U344" i="8" s="1"/>
  <c r="R344" i="8"/>
  <c r="P345" i="8"/>
  <c r="B342" i="8"/>
  <c r="D342" i="8" s="1"/>
  <c r="V345" i="8" l="1"/>
  <c r="Q345" i="8"/>
  <c r="C345" i="8" s="1"/>
  <c r="L342" i="8"/>
  <c r="N342" i="8"/>
  <c r="S345" i="8"/>
  <c r="U345" i="8" s="1"/>
  <c r="R345" i="8"/>
  <c r="P346" i="8"/>
  <c r="B343" i="8"/>
  <c r="D343" i="8" s="1"/>
  <c r="V346" i="8" l="1"/>
  <c r="Q346" i="8"/>
  <c r="C346" i="8" s="1"/>
  <c r="L343" i="8"/>
  <c r="N343" i="8"/>
  <c r="S346" i="8"/>
  <c r="U346" i="8" s="1"/>
  <c r="R346" i="8"/>
  <c r="P347" i="8"/>
  <c r="B344" i="8"/>
  <c r="D344" i="8" s="1"/>
  <c r="V347" i="8" l="1"/>
  <c r="Q347" i="8"/>
  <c r="C347" i="8" s="1"/>
  <c r="L344" i="8"/>
  <c r="N344" i="8"/>
  <c r="S347" i="8"/>
  <c r="U347" i="8" s="1"/>
  <c r="R347" i="8"/>
  <c r="P348" i="8"/>
  <c r="B345" i="8"/>
  <c r="D345" i="8" s="1"/>
  <c r="V348" i="8" l="1"/>
  <c r="Q348" i="8"/>
  <c r="C348" i="8" s="1"/>
  <c r="L345" i="8"/>
  <c r="N345" i="8"/>
  <c r="S348" i="8"/>
  <c r="U348" i="8" s="1"/>
  <c r="R348" i="8"/>
  <c r="P349" i="8"/>
  <c r="B346" i="8"/>
  <c r="D346" i="8" s="1"/>
  <c r="V349" i="8" l="1"/>
  <c r="Q349" i="8"/>
  <c r="C349" i="8" s="1"/>
  <c r="L346" i="8"/>
  <c r="N346" i="8"/>
  <c r="S349" i="8"/>
  <c r="U349" i="8" s="1"/>
  <c r="R349" i="8"/>
  <c r="P350" i="8"/>
  <c r="B347" i="8"/>
  <c r="D347" i="8" s="1"/>
  <c r="V350" i="8" l="1"/>
  <c r="Q350" i="8"/>
  <c r="C350" i="8" s="1"/>
  <c r="L347" i="8"/>
  <c r="N347" i="8"/>
  <c r="S350" i="8"/>
  <c r="U350" i="8" s="1"/>
  <c r="R350" i="8"/>
  <c r="P351" i="8"/>
  <c r="B348" i="8"/>
  <c r="D348" i="8" s="1"/>
  <c r="V351" i="8" l="1"/>
  <c r="Q351" i="8"/>
  <c r="C351" i="8" s="1"/>
  <c r="L348" i="8"/>
  <c r="N348" i="8"/>
  <c r="S351" i="8"/>
  <c r="U351" i="8" s="1"/>
  <c r="R351" i="8"/>
  <c r="P352" i="8"/>
  <c r="B349" i="8"/>
  <c r="D349" i="8" s="1"/>
  <c r="V352" i="8" l="1"/>
  <c r="Q352" i="8"/>
  <c r="C352" i="8" s="1"/>
  <c r="L349" i="8"/>
  <c r="N349" i="8"/>
  <c r="S352" i="8"/>
  <c r="U352" i="8" s="1"/>
  <c r="R352" i="8"/>
  <c r="B350" i="8"/>
  <c r="D350" i="8" s="1"/>
  <c r="P353" i="8"/>
  <c r="V353" i="8" l="1"/>
  <c r="Q353" i="8"/>
  <c r="C353" i="8" s="1"/>
  <c r="L350" i="8"/>
  <c r="N350" i="8"/>
  <c r="S353" i="8"/>
  <c r="U353" i="8" s="1"/>
  <c r="R353" i="8"/>
  <c r="B351" i="8"/>
  <c r="D351" i="8" s="1"/>
  <c r="P354" i="8"/>
  <c r="V354" i="8" l="1"/>
  <c r="Q354" i="8"/>
  <c r="C354" i="8" s="1"/>
  <c r="L351" i="8"/>
  <c r="N351" i="8"/>
  <c r="S354" i="8"/>
  <c r="U354" i="8" s="1"/>
  <c r="R354" i="8"/>
  <c r="B352" i="8"/>
  <c r="D352" i="8" s="1"/>
  <c r="P355" i="8"/>
  <c r="V355" i="8" l="1"/>
  <c r="Q355" i="8"/>
  <c r="C355" i="8" s="1"/>
  <c r="L352" i="8"/>
  <c r="N352" i="8"/>
  <c r="S355" i="8"/>
  <c r="U355" i="8" s="1"/>
  <c r="R355" i="8"/>
  <c r="B353" i="8"/>
  <c r="D353" i="8" s="1"/>
  <c r="P356" i="8"/>
  <c r="V356" i="8" l="1"/>
  <c r="Q356" i="8"/>
  <c r="C356" i="8" s="1"/>
  <c r="L353" i="8"/>
  <c r="N353" i="8"/>
  <c r="S356" i="8"/>
  <c r="U356" i="8" s="1"/>
  <c r="R356" i="8"/>
  <c r="B354" i="8"/>
  <c r="D354" i="8" s="1"/>
  <c r="P357" i="8"/>
  <c r="V357" i="8" l="1"/>
  <c r="Q357" i="8"/>
  <c r="C357" i="8" s="1"/>
  <c r="L354" i="8"/>
  <c r="N354" i="8"/>
  <c r="S357" i="8"/>
  <c r="U357" i="8" s="1"/>
  <c r="R357" i="8"/>
  <c r="B355" i="8"/>
  <c r="D355" i="8" s="1"/>
  <c r="P358" i="8"/>
  <c r="V358" i="8" l="1"/>
  <c r="Q358" i="8"/>
  <c r="C358" i="8" s="1"/>
  <c r="L355" i="8"/>
  <c r="N355" i="8"/>
  <c r="S358" i="8"/>
  <c r="U358" i="8" s="1"/>
  <c r="R358" i="8"/>
  <c r="B356" i="8"/>
  <c r="D356" i="8" s="1"/>
  <c r="P359" i="8"/>
  <c r="V359" i="8" l="1"/>
  <c r="Q359" i="8"/>
  <c r="C359" i="8" s="1"/>
  <c r="L356" i="8"/>
  <c r="N356" i="8"/>
  <c r="S359" i="8"/>
  <c r="U359" i="8" s="1"/>
  <c r="R359" i="8"/>
  <c r="B357" i="8"/>
  <c r="D357" i="8" s="1"/>
  <c r="P360" i="8"/>
  <c r="V360" i="8" l="1"/>
  <c r="Q360" i="8"/>
  <c r="C360" i="8" s="1"/>
  <c r="L357" i="8"/>
  <c r="N357" i="8"/>
  <c r="S360" i="8"/>
  <c r="U360" i="8" s="1"/>
  <c r="R360" i="8"/>
  <c r="B358" i="8"/>
  <c r="D358" i="8" s="1"/>
  <c r="P361" i="8"/>
  <c r="V361" i="8" l="1"/>
  <c r="Q361" i="8"/>
  <c r="C361" i="8" s="1"/>
  <c r="L358" i="8"/>
  <c r="N358" i="8"/>
  <c r="S361" i="8"/>
  <c r="U361" i="8" s="1"/>
  <c r="R361" i="8"/>
  <c r="B359" i="8"/>
  <c r="D359" i="8" s="1"/>
  <c r="P362" i="8"/>
  <c r="V362" i="8" l="1"/>
  <c r="Q362" i="8"/>
  <c r="C362" i="8" s="1"/>
  <c r="L359" i="8"/>
  <c r="N359" i="8"/>
  <c r="S362" i="8"/>
  <c r="U362" i="8" s="1"/>
  <c r="R362" i="8"/>
  <c r="B360" i="8"/>
  <c r="D360" i="8" s="1"/>
  <c r="P363" i="8"/>
  <c r="V363" i="8" l="1"/>
  <c r="Q363" i="8"/>
  <c r="C363" i="8" s="1"/>
  <c r="L360" i="8"/>
  <c r="N360" i="8"/>
  <c r="S363" i="8"/>
  <c r="U363" i="8" s="1"/>
  <c r="R363" i="8"/>
  <c r="B361" i="8"/>
  <c r="D361" i="8" s="1"/>
  <c r="P364" i="8"/>
  <c r="V364" i="8" l="1"/>
  <c r="Q364" i="8"/>
  <c r="C364" i="8" s="1"/>
  <c r="L361" i="8"/>
  <c r="N361" i="8"/>
  <c r="S364" i="8"/>
  <c r="U364" i="8" s="1"/>
  <c r="R364" i="8"/>
  <c r="B362" i="8"/>
  <c r="D362" i="8" s="1"/>
  <c r="P365" i="8"/>
  <c r="V365" i="8" l="1"/>
  <c r="Q365" i="8"/>
  <c r="C365" i="8" s="1"/>
  <c r="L362" i="8"/>
  <c r="N362" i="8"/>
  <c r="S365" i="8"/>
  <c r="U365" i="8" s="1"/>
  <c r="R365" i="8"/>
  <c r="B363" i="8"/>
  <c r="D363" i="8" s="1"/>
  <c r="P366" i="8"/>
  <c r="V366" i="8" l="1"/>
  <c r="Q366" i="8"/>
  <c r="C366" i="8" s="1"/>
  <c r="L363" i="8"/>
  <c r="N363" i="8"/>
  <c r="S366" i="8"/>
  <c r="U366" i="8" s="1"/>
  <c r="R366" i="8"/>
  <c r="B364" i="8"/>
  <c r="D364" i="8" s="1"/>
  <c r="P367" i="8"/>
  <c r="V367" i="8" l="1"/>
  <c r="Q367" i="8"/>
  <c r="C367" i="8" s="1"/>
  <c r="L364" i="8"/>
  <c r="N364" i="8"/>
  <c r="S367" i="8"/>
  <c r="U367" i="8" s="1"/>
  <c r="R367" i="8"/>
  <c r="B365" i="8"/>
  <c r="D365" i="8" s="1"/>
  <c r="P368" i="8"/>
  <c r="V368" i="8" l="1"/>
  <c r="Q368" i="8"/>
  <c r="C368" i="8" s="1"/>
  <c r="L365" i="8"/>
  <c r="N365" i="8"/>
  <c r="S368" i="8"/>
  <c r="U368" i="8" s="1"/>
  <c r="R368" i="8"/>
  <c r="B366" i="8"/>
  <c r="D366" i="8" s="1"/>
  <c r="P369" i="8"/>
  <c r="V369" i="8" l="1"/>
  <c r="Q369" i="8"/>
  <c r="C369" i="8" s="1"/>
  <c r="L366" i="8"/>
  <c r="N366" i="8"/>
  <c r="S369" i="8"/>
  <c r="U369" i="8" s="1"/>
  <c r="R369" i="8"/>
  <c r="B367" i="8"/>
  <c r="D367" i="8" s="1"/>
  <c r="P370" i="8"/>
  <c r="V370" i="8" l="1"/>
  <c r="Q370" i="8"/>
  <c r="C370" i="8" s="1"/>
  <c r="L367" i="8"/>
  <c r="N367" i="8"/>
  <c r="S370" i="8"/>
  <c r="U370" i="8" s="1"/>
  <c r="R370" i="8"/>
  <c r="B368" i="8"/>
  <c r="D368" i="8" s="1"/>
  <c r="P371" i="8"/>
  <c r="V371" i="8" l="1"/>
  <c r="Q371" i="8"/>
  <c r="C371" i="8" s="1"/>
  <c r="L368" i="8"/>
  <c r="N368" i="8"/>
  <c r="S371" i="8"/>
  <c r="U371" i="8" s="1"/>
  <c r="R371" i="8"/>
  <c r="B369" i="8"/>
  <c r="D369" i="8" s="1"/>
  <c r="P372" i="8"/>
  <c r="V372" i="8" l="1"/>
  <c r="Q372" i="8"/>
  <c r="C372" i="8" s="1"/>
  <c r="L369" i="8"/>
  <c r="N369" i="8"/>
  <c r="S372" i="8"/>
  <c r="U372" i="8" s="1"/>
  <c r="R372" i="8"/>
  <c r="B370" i="8"/>
  <c r="D370" i="8" s="1"/>
  <c r="P373" i="8"/>
  <c r="V373" i="8" l="1"/>
  <c r="Q373" i="8"/>
  <c r="C373" i="8" s="1"/>
  <c r="L370" i="8"/>
  <c r="N370" i="8"/>
  <c r="S373" i="8"/>
  <c r="U373" i="8" s="1"/>
  <c r="R373" i="8"/>
  <c r="B371" i="8"/>
  <c r="D371" i="8" s="1"/>
  <c r="P374" i="8"/>
  <c r="V374" i="8" l="1"/>
  <c r="Q374" i="8"/>
  <c r="C374" i="8" s="1"/>
  <c r="L371" i="8"/>
  <c r="N371" i="8"/>
  <c r="S374" i="8"/>
  <c r="U374" i="8" s="1"/>
  <c r="R374" i="8"/>
  <c r="B372" i="8"/>
  <c r="D372" i="8" s="1"/>
  <c r="P375" i="8"/>
  <c r="V375" i="8" l="1"/>
  <c r="Q375" i="8"/>
  <c r="C375" i="8" s="1"/>
  <c r="L372" i="8"/>
  <c r="N372" i="8"/>
  <c r="S375" i="8"/>
  <c r="U375" i="8" s="1"/>
  <c r="R375" i="8"/>
  <c r="B373" i="8"/>
  <c r="D373" i="8" s="1"/>
  <c r="P376" i="8"/>
  <c r="V376" i="8" l="1"/>
  <c r="Q376" i="8"/>
  <c r="C376" i="8" s="1"/>
  <c r="L373" i="8"/>
  <c r="N373" i="8"/>
  <c r="S376" i="8"/>
  <c r="U376" i="8" s="1"/>
  <c r="R376" i="8"/>
  <c r="B374" i="8"/>
  <c r="D374" i="8" s="1"/>
  <c r="P377" i="8"/>
  <c r="V377" i="8" l="1"/>
  <c r="Q377" i="8"/>
  <c r="C377" i="8" s="1"/>
  <c r="L374" i="8"/>
  <c r="N374" i="8"/>
  <c r="S377" i="8"/>
  <c r="U377" i="8" s="1"/>
  <c r="R377" i="8"/>
  <c r="B375" i="8"/>
  <c r="D375" i="8" s="1"/>
  <c r="P378" i="8"/>
  <c r="V378" i="8" l="1"/>
  <c r="Q378" i="8"/>
  <c r="C378" i="8" s="1"/>
  <c r="L375" i="8"/>
  <c r="N375" i="8"/>
  <c r="S378" i="8"/>
  <c r="U378" i="8" s="1"/>
  <c r="R378" i="8"/>
  <c r="B376" i="8"/>
  <c r="D376" i="8" s="1"/>
  <c r="P379" i="8"/>
  <c r="V379" i="8" l="1"/>
  <c r="Q379" i="8"/>
  <c r="C379" i="8" s="1"/>
  <c r="L376" i="8"/>
  <c r="N376" i="8"/>
  <c r="S379" i="8"/>
  <c r="U379" i="8" s="1"/>
  <c r="R379" i="8"/>
  <c r="B377" i="8"/>
  <c r="D377" i="8" s="1"/>
  <c r="P380" i="8"/>
  <c r="V380" i="8" l="1"/>
  <c r="Q380" i="8"/>
  <c r="C380" i="8" s="1"/>
  <c r="L377" i="8"/>
  <c r="N377" i="8"/>
  <c r="S380" i="8"/>
  <c r="U380" i="8" s="1"/>
  <c r="R380" i="8"/>
  <c r="B378" i="8"/>
  <c r="D378" i="8" s="1"/>
  <c r="P381" i="8"/>
  <c r="V381" i="8" l="1"/>
  <c r="Q381" i="8"/>
  <c r="C381" i="8" s="1"/>
  <c r="L378" i="8"/>
  <c r="N378" i="8"/>
  <c r="S381" i="8"/>
  <c r="U381" i="8" s="1"/>
  <c r="R381" i="8"/>
  <c r="B379" i="8"/>
  <c r="D379" i="8" s="1"/>
  <c r="P382" i="8"/>
  <c r="V382" i="8" l="1"/>
  <c r="Q382" i="8"/>
  <c r="C382" i="8" s="1"/>
  <c r="L379" i="8"/>
  <c r="N379" i="8"/>
  <c r="S382" i="8"/>
  <c r="U382" i="8" s="1"/>
  <c r="R382" i="8"/>
  <c r="B380" i="8"/>
  <c r="D380" i="8" s="1"/>
  <c r="P383" i="8"/>
  <c r="V383" i="8" l="1"/>
  <c r="Q383" i="8"/>
  <c r="C383" i="8" s="1"/>
  <c r="L380" i="8"/>
  <c r="N380" i="8"/>
  <c r="S383" i="8"/>
  <c r="U383" i="8" s="1"/>
  <c r="R383" i="8"/>
  <c r="B381" i="8"/>
  <c r="D381" i="8" s="1"/>
  <c r="P384" i="8"/>
  <c r="V384" i="8" l="1"/>
  <c r="Q384" i="8"/>
  <c r="C384" i="8" s="1"/>
  <c r="L381" i="8"/>
  <c r="N381" i="8"/>
  <c r="S384" i="8"/>
  <c r="U384" i="8" s="1"/>
  <c r="R384" i="8"/>
  <c r="B382" i="8"/>
  <c r="D382" i="8" s="1"/>
  <c r="P385" i="8"/>
  <c r="V385" i="8" l="1"/>
  <c r="Q385" i="8"/>
  <c r="C385" i="8" s="1"/>
  <c r="L382" i="8"/>
  <c r="N382" i="8"/>
  <c r="S385" i="8"/>
  <c r="U385" i="8" s="1"/>
  <c r="R385" i="8"/>
  <c r="B383" i="8"/>
  <c r="D383" i="8" s="1"/>
  <c r="P386" i="8"/>
  <c r="V386" i="8" l="1"/>
  <c r="Q386" i="8"/>
  <c r="C386" i="8" s="1"/>
  <c r="L383" i="8"/>
  <c r="N383" i="8"/>
  <c r="S386" i="8"/>
  <c r="U386" i="8" s="1"/>
  <c r="R386" i="8"/>
  <c r="B384" i="8"/>
  <c r="D384" i="8" s="1"/>
  <c r="P387" i="8"/>
  <c r="V387" i="8" l="1"/>
  <c r="Q387" i="8"/>
  <c r="C387" i="8" s="1"/>
  <c r="L384" i="8"/>
  <c r="N384" i="8"/>
  <c r="S387" i="8"/>
  <c r="U387" i="8" s="1"/>
  <c r="R387" i="8"/>
  <c r="B385" i="8"/>
  <c r="D385" i="8" s="1"/>
  <c r="P388" i="8"/>
  <c r="V388" i="8" l="1"/>
  <c r="Q388" i="8"/>
  <c r="C388" i="8" s="1"/>
  <c r="L385" i="8"/>
  <c r="N385" i="8"/>
  <c r="S388" i="8"/>
  <c r="U388" i="8" s="1"/>
  <c r="R388" i="8"/>
  <c r="B386" i="8"/>
  <c r="D386" i="8" s="1"/>
  <c r="P389" i="8"/>
  <c r="V389" i="8" l="1"/>
  <c r="Q389" i="8"/>
  <c r="C389" i="8" s="1"/>
  <c r="L386" i="8"/>
  <c r="N386" i="8"/>
  <c r="S389" i="8"/>
  <c r="U389" i="8" s="1"/>
  <c r="R389" i="8"/>
  <c r="B387" i="8"/>
  <c r="D387" i="8" s="1"/>
  <c r="P390" i="8"/>
  <c r="V390" i="8" l="1"/>
  <c r="Q390" i="8"/>
  <c r="C390" i="8" s="1"/>
  <c r="L387" i="8"/>
  <c r="N387" i="8"/>
  <c r="S390" i="8"/>
  <c r="U390" i="8" s="1"/>
  <c r="R390" i="8"/>
  <c r="B388" i="8"/>
  <c r="D388" i="8" s="1"/>
  <c r="P391" i="8"/>
  <c r="V391" i="8" l="1"/>
  <c r="Q391" i="8"/>
  <c r="C391" i="8" s="1"/>
  <c r="L388" i="8"/>
  <c r="N388" i="8"/>
  <c r="S391" i="8"/>
  <c r="U391" i="8" s="1"/>
  <c r="R391" i="8"/>
  <c r="B389" i="8"/>
  <c r="D389" i="8" s="1"/>
  <c r="P392" i="8"/>
  <c r="V392" i="8" l="1"/>
  <c r="Q392" i="8"/>
  <c r="C392" i="8" s="1"/>
  <c r="L389" i="8"/>
  <c r="N389" i="8"/>
  <c r="S392" i="8"/>
  <c r="U392" i="8" s="1"/>
  <c r="R392" i="8"/>
  <c r="B390" i="8"/>
  <c r="D390" i="8" s="1"/>
  <c r="P393" i="8"/>
  <c r="V393" i="8" l="1"/>
  <c r="Q393" i="8"/>
  <c r="C393" i="8" s="1"/>
  <c r="L390" i="8"/>
  <c r="N390" i="8"/>
  <c r="S393" i="8"/>
  <c r="U393" i="8" s="1"/>
  <c r="R393" i="8"/>
  <c r="B391" i="8"/>
  <c r="D391" i="8" s="1"/>
  <c r="P394" i="8"/>
  <c r="V394" i="8" l="1"/>
  <c r="Q394" i="8"/>
  <c r="C394" i="8" s="1"/>
  <c r="L391" i="8"/>
  <c r="N391" i="8"/>
  <c r="S394" i="8"/>
  <c r="U394" i="8" s="1"/>
  <c r="R394" i="8"/>
  <c r="B392" i="8"/>
  <c r="D392" i="8" s="1"/>
  <c r="P395" i="8"/>
  <c r="V395" i="8" l="1"/>
  <c r="Q395" i="8"/>
  <c r="C395" i="8" s="1"/>
  <c r="L392" i="8"/>
  <c r="N392" i="8"/>
  <c r="S395" i="8"/>
  <c r="U395" i="8" s="1"/>
  <c r="R395" i="8"/>
  <c r="B393" i="8"/>
  <c r="D393" i="8" s="1"/>
  <c r="P396" i="8"/>
  <c r="V396" i="8" l="1"/>
  <c r="Q396" i="8"/>
  <c r="C396" i="8" s="1"/>
  <c r="L393" i="8"/>
  <c r="N393" i="8"/>
  <c r="S396" i="8"/>
  <c r="U396" i="8" s="1"/>
  <c r="R396" i="8"/>
  <c r="B394" i="8"/>
  <c r="D394" i="8" s="1"/>
  <c r="P397" i="8"/>
  <c r="V397" i="8" l="1"/>
  <c r="Q397" i="8"/>
  <c r="C397" i="8" s="1"/>
  <c r="L394" i="8"/>
  <c r="N394" i="8"/>
  <c r="S397" i="8"/>
  <c r="U397" i="8" s="1"/>
  <c r="R397" i="8"/>
  <c r="B395" i="8"/>
  <c r="D395" i="8" s="1"/>
  <c r="P398" i="8"/>
  <c r="V398" i="8" l="1"/>
  <c r="Q398" i="8"/>
  <c r="C398" i="8" s="1"/>
  <c r="L395" i="8"/>
  <c r="N395" i="8"/>
  <c r="S398" i="8"/>
  <c r="U398" i="8" s="1"/>
  <c r="R398" i="8"/>
  <c r="B396" i="8"/>
  <c r="D396" i="8" s="1"/>
  <c r="P399" i="8"/>
  <c r="V399" i="8" l="1"/>
  <c r="Q399" i="8"/>
  <c r="C399" i="8" s="1"/>
  <c r="L396" i="8"/>
  <c r="N396" i="8"/>
  <c r="S399" i="8"/>
  <c r="U399" i="8" s="1"/>
  <c r="R399" i="8"/>
  <c r="B397" i="8"/>
  <c r="D397" i="8" s="1"/>
  <c r="P400" i="8"/>
  <c r="V400" i="8" l="1"/>
  <c r="Q400" i="8"/>
  <c r="C400" i="8" s="1"/>
  <c r="L397" i="8"/>
  <c r="N397" i="8"/>
  <c r="S400" i="8"/>
  <c r="U400" i="8" s="1"/>
  <c r="R400" i="8"/>
  <c r="B398" i="8"/>
  <c r="D398" i="8" s="1"/>
  <c r="P401" i="8"/>
  <c r="V401" i="8" l="1"/>
  <c r="Q401" i="8"/>
  <c r="C401" i="8" s="1"/>
  <c r="L398" i="8"/>
  <c r="N398" i="8"/>
  <c r="S401" i="8"/>
  <c r="U401" i="8" s="1"/>
  <c r="R401" i="8"/>
  <c r="B399" i="8"/>
  <c r="D399" i="8" s="1"/>
  <c r="P402" i="8"/>
  <c r="V402" i="8" l="1"/>
  <c r="Q402" i="8"/>
  <c r="C402" i="8" s="1"/>
  <c r="L399" i="8"/>
  <c r="N399" i="8"/>
  <c r="S402" i="8"/>
  <c r="U402" i="8" s="1"/>
  <c r="R402" i="8"/>
  <c r="B400" i="8"/>
  <c r="D400" i="8" s="1"/>
  <c r="P403" i="8"/>
  <c r="V403" i="8" l="1"/>
  <c r="Q403" i="8"/>
  <c r="C403" i="8" s="1"/>
  <c r="L400" i="8"/>
  <c r="N400" i="8"/>
  <c r="S403" i="8"/>
  <c r="U403" i="8" s="1"/>
  <c r="R403" i="8"/>
  <c r="B401" i="8"/>
  <c r="D401" i="8" s="1"/>
  <c r="P404" i="8"/>
  <c r="V404" i="8" l="1"/>
  <c r="Q404" i="8"/>
  <c r="C404" i="8" s="1"/>
  <c r="L401" i="8"/>
  <c r="N401" i="8"/>
  <c r="S404" i="8"/>
  <c r="U404" i="8" s="1"/>
  <c r="R404" i="8"/>
  <c r="B402" i="8"/>
  <c r="D402" i="8" s="1"/>
  <c r="P405" i="8"/>
  <c r="V405" i="8" l="1"/>
  <c r="Q405" i="8"/>
  <c r="C405" i="8" s="1"/>
  <c r="L402" i="8"/>
  <c r="N402" i="8"/>
  <c r="S405" i="8"/>
  <c r="U405" i="8" s="1"/>
  <c r="R405" i="8"/>
  <c r="B403" i="8"/>
  <c r="D403" i="8" s="1"/>
  <c r="P406" i="8"/>
  <c r="V406" i="8" l="1"/>
  <c r="Q406" i="8"/>
  <c r="C406" i="8" s="1"/>
  <c r="L403" i="8"/>
  <c r="N403" i="8"/>
  <c r="S406" i="8"/>
  <c r="U406" i="8" s="1"/>
  <c r="R406" i="8"/>
  <c r="B404" i="8"/>
  <c r="D404" i="8" s="1"/>
  <c r="P407" i="8"/>
  <c r="V407" i="8" l="1"/>
  <c r="Q407" i="8"/>
  <c r="C407" i="8" s="1"/>
  <c r="L404" i="8"/>
  <c r="N404" i="8"/>
  <c r="S407" i="8"/>
  <c r="U407" i="8" s="1"/>
  <c r="R407" i="8"/>
  <c r="B405" i="8"/>
  <c r="D405" i="8" s="1"/>
  <c r="P408" i="8"/>
  <c r="V408" i="8" l="1"/>
  <c r="Q408" i="8"/>
  <c r="C408" i="8" s="1"/>
  <c r="L405" i="8"/>
  <c r="N405" i="8"/>
  <c r="S408" i="8"/>
  <c r="U408" i="8" s="1"/>
  <c r="R408" i="8"/>
  <c r="B406" i="8"/>
  <c r="D406" i="8" s="1"/>
  <c r="P409" i="8"/>
  <c r="V409" i="8" l="1"/>
  <c r="Q409" i="8"/>
  <c r="C409" i="8" s="1"/>
  <c r="L406" i="8"/>
  <c r="N406" i="8"/>
  <c r="S409" i="8"/>
  <c r="U409" i="8" s="1"/>
  <c r="R409" i="8"/>
  <c r="B407" i="8"/>
  <c r="D407" i="8" s="1"/>
  <c r="P410" i="8"/>
  <c r="V410" i="8" l="1"/>
  <c r="Q410" i="8"/>
  <c r="C410" i="8" s="1"/>
  <c r="L407" i="8"/>
  <c r="N407" i="8"/>
  <c r="S410" i="8"/>
  <c r="U410" i="8" s="1"/>
  <c r="R410" i="8"/>
  <c r="B408" i="8"/>
  <c r="D408" i="8" s="1"/>
  <c r="P411" i="8"/>
  <c r="V411" i="8" l="1"/>
  <c r="Q411" i="8"/>
  <c r="C411" i="8" s="1"/>
  <c r="L408" i="8"/>
  <c r="N408" i="8"/>
  <c r="S411" i="8"/>
  <c r="U411" i="8" s="1"/>
  <c r="R411" i="8"/>
  <c r="B409" i="8"/>
  <c r="D409" i="8" s="1"/>
  <c r="P412" i="8"/>
  <c r="V412" i="8" l="1"/>
  <c r="Q412" i="8"/>
  <c r="C412" i="8" s="1"/>
  <c r="L409" i="8"/>
  <c r="N409" i="8"/>
  <c r="S412" i="8"/>
  <c r="U412" i="8" s="1"/>
  <c r="R412" i="8"/>
  <c r="B410" i="8"/>
  <c r="D410" i="8" s="1"/>
  <c r="P413" i="8"/>
  <c r="V413" i="8" l="1"/>
  <c r="Q413" i="8"/>
  <c r="C413" i="8" s="1"/>
  <c r="L410" i="8"/>
  <c r="N410" i="8"/>
  <c r="S413" i="8"/>
  <c r="U413" i="8" s="1"/>
  <c r="R413" i="8"/>
  <c r="B411" i="8"/>
  <c r="D411" i="8" s="1"/>
  <c r="P414" i="8"/>
  <c r="V414" i="8" l="1"/>
  <c r="Q414" i="8"/>
  <c r="C414" i="8" s="1"/>
  <c r="L411" i="8"/>
  <c r="N411" i="8"/>
  <c r="S414" i="8"/>
  <c r="U414" i="8" s="1"/>
  <c r="R414" i="8"/>
  <c r="B412" i="8"/>
  <c r="D412" i="8" s="1"/>
  <c r="P415" i="8"/>
  <c r="V415" i="8" l="1"/>
  <c r="Q415" i="8"/>
  <c r="C415" i="8" s="1"/>
  <c r="L412" i="8"/>
  <c r="N412" i="8"/>
  <c r="S415" i="8"/>
  <c r="U415" i="8" s="1"/>
  <c r="R415" i="8"/>
  <c r="B413" i="8"/>
  <c r="D413" i="8" s="1"/>
  <c r="P416" i="8"/>
  <c r="V416" i="8" l="1"/>
  <c r="Q416" i="8"/>
  <c r="C416" i="8" s="1"/>
  <c r="L413" i="8"/>
  <c r="N413" i="8"/>
  <c r="S416" i="8"/>
  <c r="U416" i="8" s="1"/>
  <c r="R416" i="8"/>
  <c r="B414" i="8"/>
  <c r="D414" i="8" s="1"/>
  <c r="P417" i="8"/>
  <c r="V417" i="8" l="1"/>
  <c r="Q417" i="8"/>
  <c r="C417" i="8" s="1"/>
  <c r="L414" i="8"/>
  <c r="N414" i="8"/>
  <c r="S417" i="8"/>
  <c r="U417" i="8" s="1"/>
  <c r="R417" i="8"/>
  <c r="B415" i="8"/>
  <c r="D415" i="8" s="1"/>
  <c r="P418" i="8"/>
  <c r="V418" i="8" l="1"/>
  <c r="Q418" i="8"/>
  <c r="C418" i="8" s="1"/>
  <c r="L415" i="8"/>
  <c r="N415" i="8"/>
  <c r="S418" i="8"/>
  <c r="U418" i="8" s="1"/>
  <c r="R418" i="8"/>
  <c r="B416" i="8"/>
  <c r="D416" i="8" s="1"/>
  <c r="P419" i="8"/>
  <c r="V419" i="8" l="1"/>
  <c r="Q419" i="8"/>
  <c r="C419" i="8" s="1"/>
  <c r="L416" i="8"/>
  <c r="N416" i="8"/>
  <c r="S419" i="8"/>
  <c r="U419" i="8" s="1"/>
  <c r="R419" i="8"/>
  <c r="B417" i="8"/>
  <c r="D417" i="8" s="1"/>
  <c r="P420" i="8"/>
  <c r="V420" i="8" l="1"/>
  <c r="Q420" i="8"/>
  <c r="C420" i="8" s="1"/>
  <c r="L417" i="8"/>
  <c r="N417" i="8"/>
  <c r="S420" i="8"/>
  <c r="U420" i="8" s="1"/>
  <c r="R420" i="8"/>
  <c r="B418" i="8"/>
  <c r="D418" i="8" s="1"/>
  <c r="P421" i="8"/>
  <c r="V421" i="8" l="1"/>
  <c r="Q421" i="8"/>
  <c r="C421" i="8" s="1"/>
  <c r="L418" i="8"/>
  <c r="N418" i="8"/>
  <c r="S421" i="8"/>
  <c r="U421" i="8" s="1"/>
  <c r="R421" i="8"/>
  <c r="B419" i="8"/>
  <c r="D419" i="8" s="1"/>
  <c r="P422" i="8"/>
  <c r="V422" i="8" l="1"/>
  <c r="Q422" i="8"/>
  <c r="C422" i="8" s="1"/>
  <c r="L419" i="8"/>
  <c r="N419" i="8"/>
  <c r="S422" i="8"/>
  <c r="U422" i="8" s="1"/>
  <c r="R422" i="8"/>
  <c r="B420" i="8"/>
  <c r="D420" i="8" s="1"/>
  <c r="P423" i="8"/>
  <c r="V423" i="8" l="1"/>
  <c r="Q423" i="8"/>
  <c r="C423" i="8" s="1"/>
  <c r="L420" i="8"/>
  <c r="N420" i="8"/>
  <c r="S423" i="8"/>
  <c r="U423" i="8" s="1"/>
  <c r="R423" i="8"/>
  <c r="B421" i="8"/>
  <c r="D421" i="8" s="1"/>
  <c r="P424" i="8"/>
  <c r="V424" i="8" l="1"/>
  <c r="Q424" i="8"/>
  <c r="C424" i="8" s="1"/>
  <c r="L421" i="8"/>
  <c r="N421" i="8"/>
  <c r="S424" i="8"/>
  <c r="U424" i="8" s="1"/>
  <c r="R424" i="8"/>
  <c r="B422" i="8"/>
  <c r="D422" i="8" s="1"/>
  <c r="P425" i="8"/>
  <c r="V425" i="8" l="1"/>
  <c r="Q425" i="8"/>
  <c r="C425" i="8" s="1"/>
  <c r="L422" i="8"/>
  <c r="N422" i="8"/>
  <c r="S425" i="8"/>
  <c r="U425" i="8" s="1"/>
  <c r="R425" i="8"/>
  <c r="B423" i="8"/>
  <c r="D423" i="8" s="1"/>
  <c r="P426" i="8"/>
  <c r="V426" i="8" l="1"/>
  <c r="Q426" i="8"/>
  <c r="C426" i="8" s="1"/>
  <c r="L423" i="8"/>
  <c r="N423" i="8"/>
  <c r="S426" i="8"/>
  <c r="U426" i="8" s="1"/>
  <c r="R426" i="8"/>
  <c r="B424" i="8"/>
  <c r="D424" i="8" s="1"/>
  <c r="P427" i="8"/>
  <c r="V427" i="8" l="1"/>
  <c r="Q427" i="8"/>
  <c r="C427" i="8" s="1"/>
  <c r="L424" i="8"/>
  <c r="N424" i="8"/>
  <c r="S427" i="8"/>
  <c r="U427" i="8" s="1"/>
  <c r="R427" i="8"/>
  <c r="B425" i="8"/>
  <c r="D425" i="8" s="1"/>
  <c r="P428" i="8"/>
  <c r="V428" i="8" l="1"/>
  <c r="Q428" i="8"/>
  <c r="C428" i="8" s="1"/>
  <c r="L425" i="8"/>
  <c r="N425" i="8"/>
  <c r="S428" i="8"/>
  <c r="U428" i="8" s="1"/>
  <c r="R428" i="8"/>
  <c r="B426" i="8"/>
  <c r="D426" i="8" s="1"/>
  <c r="P429" i="8"/>
  <c r="V429" i="8" l="1"/>
  <c r="Q429" i="8"/>
  <c r="C429" i="8" s="1"/>
  <c r="L426" i="8"/>
  <c r="N426" i="8"/>
  <c r="S429" i="8"/>
  <c r="U429" i="8" s="1"/>
  <c r="R429" i="8"/>
  <c r="B427" i="8"/>
  <c r="D427" i="8" s="1"/>
  <c r="P430" i="8"/>
  <c r="V430" i="8" l="1"/>
  <c r="Q430" i="8"/>
  <c r="C430" i="8" s="1"/>
  <c r="L427" i="8"/>
  <c r="N427" i="8"/>
  <c r="S430" i="8"/>
  <c r="U430" i="8" s="1"/>
  <c r="R430" i="8"/>
  <c r="B428" i="8"/>
  <c r="D428" i="8" s="1"/>
  <c r="P431" i="8"/>
  <c r="V431" i="8" l="1"/>
  <c r="Q431" i="8"/>
  <c r="C431" i="8" s="1"/>
  <c r="L428" i="8"/>
  <c r="N428" i="8"/>
  <c r="S431" i="8"/>
  <c r="U431" i="8" s="1"/>
  <c r="R431" i="8"/>
  <c r="B429" i="8"/>
  <c r="D429" i="8" s="1"/>
  <c r="P432" i="8"/>
  <c r="V432" i="8" l="1"/>
  <c r="Q432" i="8"/>
  <c r="C432" i="8" s="1"/>
  <c r="L429" i="8"/>
  <c r="N429" i="8"/>
  <c r="S432" i="8"/>
  <c r="U432" i="8" s="1"/>
  <c r="R432" i="8"/>
  <c r="B430" i="8"/>
  <c r="D430" i="8" s="1"/>
  <c r="P433" i="8"/>
  <c r="V433" i="8" l="1"/>
  <c r="Q433" i="8"/>
  <c r="C433" i="8" s="1"/>
  <c r="L430" i="8"/>
  <c r="N430" i="8"/>
  <c r="S433" i="8"/>
  <c r="U433" i="8" s="1"/>
  <c r="R433" i="8"/>
  <c r="B431" i="8"/>
  <c r="D431" i="8" s="1"/>
  <c r="P434" i="8"/>
  <c r="V434" i="8" l="1"/>
  <c r="Q434" i="8"/>
  <c r="C434" i="8" s="1"/>
  <c r="L431" i="8"/>
  <c r="N431" i="8"/>
  <c r="S434" i="8"/>
  <c r="U434" i="8" s="1"/>
  <c r="R434" i="8"/>
  <c r="B432" i="8"/>
  <c r="D432" i="8" s="1"/>
  <c r="P435" i="8"/>
  <c r="V435" i="8" l="1"/>
  <c r="Q435" i="8"/>
  <c r="C435" i="8" s="1"/>
  <c r="L432" i="8"/>
  <c r="N432" i="8"/>
  <c r="S435" i="8"/>
  <c r="U435" i="8" s="1"/>
  <c r="R435" i="8"/>
  <c r="B433" i="8"/>
  <c r="D433" i="8" s="1"/>
  <c r="P436" i="8"/>
  <c r="V436" i="8" l="1"/>
  <c r="Q436" i="8"/>
  <c r="C436" i="8" s="1"/>
  <c r="L433" i="8"/>
  <c r="N433" i="8"/>
  <c r="S436" i="8"/>
  <c r="U436" i="8" s="1"/>
  <c r="R436" i="8"/>
  <c r="B434" i="8"/>
  <c r="D434" i="8" s="1"/>
  <c r="P437" i="8"/>
  <c r="V437" i="8" l="1"/>
  <c r="Q437" i="8"/>
  <c r="C437" i="8" s="1"/>
  <c r="L434" i="8"/>
  <c r="N434" i="8"/>
  <c r="S437" i="8"/>
  <c r="U437" i="8" s="1"/>
  <c r="R437" i="8"/>
  <c r="B435" i="8"/>
  <c r="D435" i="8" s="1"/>
  <c r="P438" i="8"/>
  <c r="V438" i="8" l="1"/>
  <c r="Q438" i="8"/>
  <c r="C438" i="8" s="1"/>
  <c r="L435" i="8"/>
  <c r="N435" i="8"/>
  <c r="S438" i="8"/>
  <c r="U438" i="8" s="1"/>
  <c r="R438" i="8"/>
  <c r="B436" i="8"/>
  <c r="D436" i="8" s="1"/>
  <c r="P439" i="8"/>
  <c r="C14" i="30" l="1"/>
  <c r="V439" i="8"/>
  <c r="Q439" i="8"/>
  <c r="C439" i="8" s="1"/>
  <c r="L436" i="8"/>
  <c r="N436" i="8"/>
  <c r="S439" i="8"/>
  <c r="U439" i="8" s="1"/>
  <c r="R439" i="8"/>
  <c r="B437" i="8"/>
  <c r="D437" i="8" s="1"/>
  <c r="P440" i="8"/>
  <c r="E4" i="30" l="1"/>
  <c r="AI4" i="30" s="1"/>
  <c r="V440" i="8"/>
  <c r="Q440" i="8"/>
  <c r="C440" i="8" s="1"/>
  <c r="L437" i="8"/>
  <c r="N437" i="8"/>
  <c r="S440" i="8"/>
  <c r="U440" i="8" s="1"/>
  <c r="R440" i="8"/>
  <c r="B438" i="8"/>
  <c r="D438" i="8" s="1"/>
  <c r="P441" i="8"/>
  <c r="G4" i="30" l="1"/>
  <c r="H4" i="30"/>
  <c r="AJ4" i="30" s="1"/>
  <c r="I4" i="30" s="1"/>
  <c r="V441" i="8"/>
  <c r="Q441" i="8"/>
  <c r="C441" i="8" s="1"/>
  <c r="L438" i="8"/>
  <c r="N438" i="8"/>
  <c r="S441" i="8"/>
  <c r="U441" i="8" s="1"/>
  <c r="R441" i="8"/>
  <c r="B439" i="8"/>
  <c r="D439" i="8" s="1"/>
  <c r="P442" i="8"/>
  <c r="AK4" i="30" l="1"/>
  <c r="V442" i="8"/>
  <c r="Q442" i="8"/>
  <c r="C442" i="8" s="1"/>
  <c r="L439" i="8"/>
  <c r="N439" i="8"/>
  <c r="S442" i="8"/>
  <c r="U442" i="8" s="1"/>
  <c r="R442" i="8"/>
  <c r="B440" i="8"/>
  <c r="D440" i="8" s="1"/>
  <c r="P443" i="8"/>
  <c r="J4" i="30" l="1"/>
  <c r="AL4" i="30" s="1"/>
  <c r="V443" i="8"/>
  <c r="Q443" i="8"/>
  <c r="C443" i="8" s="1"/>
  <c r="L440" i="8"/>
  <c r="N440" i="8"/>
  <c r="S443" i="8"/>
  <c r="U443" i="8" s="1"/>
  <c r="R443" i="8"/>
  <c r="B441" i="8"/>
  <c r="D441" i="8" s="1"/>
  <c r="P444" i="8"/>
  <c r="K4" i="30" l="1"/>
  <c r="V444" i="8"/>
  <c r="Q444" i="8"/>
  <c r="C444" i="8" s="1"/>
  <c r="L441" i="8"/>
  <c r="N441" i="8"/>
  <c r="S444" i="8"/>
  <c r="U444" i="8" s="1"/>
  <c r="R444" i="8"/>
  <c r="B442" i="8"/>
  <c r="D442" i="8" s="1"/>
  <c r="P445" i="8"/>
  <c r="AM4" i="30" l="1"/>
  <c r="V445" i="8"/>
  <c r="Q445" i="8"/>
  <c r="C445" i="8" s="1"/>
  <c r="L442" i="8"/>
  <c r="N442" i="8"/>
  <c r="S445" i="8"/>
  <c r="U445" i="8" s="1"/>
  <c r="R445" i="8"/>
  <c r="B443" i="8"/>
  <c r="D443" i="8" s="1"/>
  <c r="P446" i="8"/>
  <c r="L4" i="30" l="1"/>
  <c r="V446" i="8"/>
  <c r="Q446" i="8"/>
  <c r="C446" i="8" s="1"/>
  <c r="L443" i="8"/>
  <c r="N443" i="8"/>
  <c r="S446" i="8"/>
  <c r="U446" i="8" s="1"/>
  <c r="R446" i="8"/>
  <c r="B444" i="8"/>
  <c r="D444" i="8" s="1"/>
  <c r="P447" i="8"/>
  <c r="AN4" i="30" l="1"/>
  <c r="V447" i="8"/>
  <c r="Q447" i="8"/>
  <c r="C447" i="8" s="1"/>
  <c r="L444" i="8"/>
  <c r="N444" i="8"/>
  <c r="S447" i="8"/>
  <c r="U447" i="8" s="1"/>
  <c r="R447" i="8"/>
  <c r="B445" i="8"/>
  <c r="D445" i="8" s="1"/>
  <c r="P448" i="8"/>
  <c r="M4" i="30" l="1"/>
  <c r="V448" i="8"/>
  <c r="Q448" i="8"/>
  <c r="C448" i="8" s="1"/>
  <c r="L445" i="8"/>
  <c r="N445" i="8"/>
  <c r="S448" i="8"/>
  <c r="U448" i="8" s="1"/>
  <c r="R448" i="8"/>
  <c r="B446" i="8"/>
  <c r="D446" i="8" s="1"/>
  <c r="P449" i="8"/>
  <c r="AO4" i="30" l="1"/>
  <c r="V449" i="8"/>
  <c r="Q449" i="8"/>
  <c r="C449" i="8" s="1"/>
  <c r="L446" i="8"/>
  <c r="N446" i="8"/>
  <c r="S449" i="8"/>
  <c r="U449" i="8" s="1"/>
  <c r="R449" i="8"/>
  <c r="B447" i="8"/>
  <c r="D447" i="8" s="1"/>
  <c r="P450" i="8"/>
  <c r="N4" i="30" l="1"/>
  <c r="V450" i="8"/>
  <c r="Q450" i="8"/>
  <c r="C450" i="8" s="1"/>
  <c r="L447" i="8"/>
  <c r="N447" i="8"/>
  <c r="S450" i="8"/>
  <c r="U450" i="8" s="1"/>
  <c r="R450" i="8"/>
  <c r="B448" i="8"/>
  <c r="D448" i="8" s="1"/>
  <c r="P451" i="8"/>
  <c r="AP4" i="30" l="1"/>
  <c r="V451" i="8"/>
  <c r="Q451" i="8"/>
  <c r="C451" i="8" s="1"/>
  <c r="L448" i="8"/>
  <c r="N448" i="8"/>
  <c r="S451" i="8"/>
  <c r="U451" i="8" s="1"/>
  <c r="R451" i="8"/>
  <c r="B449" i="8"/>
  <c r="D449" i="8" s="1"/>
  <c r="P452" i="8"/>
  <c r="O4" i="30" l="1"/>
  <c r="V452" i="8"/>
  <c r="Q452" i="8"/>
  <c r="C452" i="8" s="1"/>
  <c r="L449" i="8"/>
  <c r="N449" i="8"/>
  <c r="S452" i="8"/>
  <c r="U452" i="8" s="1"/>
  <c r="R452" i="8"/>
  <c r="B450" i="8"/>
  <c r="D450" i="8" s="1"/>
  <c r="P453" i="8"/>
  <c r="AQ4" i="30" l="1"/>
  <c r="V453" i="8"/>
  <c r="Q453" i="8"/>
  <c r="C453" i="8" s="1"/>
  <c r="L450" i="8"/>
  <c r="N450" i="8"/>
  <c r="S453" i="8"/>
  <c r="U453" i="8" s="1"/>
  <c r="R453" i="8"/>
  <c r="B451" i="8"/>
  <c r="D451" i="8" s="1"/>
  <c r="P454" i="8"/>
  <c r="P4" i="30" l="1"/>
  <c r="V454" i="8"/>
  <c r="Q454" i="8"/>
  <c r="C454" i="8" s="1"/>
  <c r="L451" i="8"/>
  <c r="N451" i="8"/>
  <c r="S454" i="8"/>
  <c r="U454" i="8" s="1"/>
  <c r="R454" i="8"/>
  <c r="B452" i="8"/>
  <c r="D452" i="8" s="1"/>
  <c r="P455" i="8"/>
  <c r="AR4" i="30" l="1"/>
  <c r="V455" i="8"/>
  <c r="Q455" i="8"/>
  <c r="C455" i="8" s="1"/>
  <c r="L452" i="8"/>
  <c r="N452" i="8"/>
  <c r="S455" i="8"/>
  <c r="U455" i="8" s="1"/>
  <c r="R455" i="8"/>
  <c r="B453" i="8"/>
  <c r="D453" i="8" s="1"/>
  <c r="P456" i="8"/>
  <c r="Q4" i="30" l="1"/>
  <c r="V456" i="8"/>
  <c r="Q456" i="8"/>
  <c r="C456" i="8" s="1"/>
  <c r="L453" i="8"/>
  <c r="N453" i="8"/>
  <c r="S456" i="8"/>
  <c r="U456" i="8" s="1"/>
  <c r="R456" i="8"/>
  <c r="B454" i="8"/>
  <c r="D454" i="8" s="1"/>
  <c r="P457" i="8"/>
  <c r="AS4" i="30" l="1"/>
  <c r="V457" i="8"/>
  <c r="Q457" i="8"/>
  <c r="C457" i="8" s="1"/>
  <c r="L454" i="8"/>
  <c r="N454" i="8"/>
  <c r="S457" i="8"/>
  <c r="U457" i="8" s="1"/>
  <c r="R457" i="8"/>
  <c r="B455" i="8"/>
  <c r="D455" i="8" s="1"/>
  <c r="P458" i="8"/>
  <c r="R4" i="30" l="1"/>
  <c r="V458" i="8"/>
  <c r="Q458" i="8"/>
  <c r="C458" i="8" s="1"/>
  <c r="L455" i="8"/>
  <c r="N455" i="8"/>
  <c r="S458" i="8"/>
  <c r="U458" i="8" s="1"/>
  <c r="R458" i="8"/>
  <c r="B456" i="8"/>
  <c r="D456" i="8" s="1"/>
  <c r="P459" i="8"/>
  <c r="AT4" i="30" l="1"/>
  <c r="V459" i="8"/>
  <c r="Q459" i="8"/>
  <c r="C459" i="8" s="1"/>
  <c r="L456" i="8"/>
  <c r="N456" i="8"/>
  <c r="S459" i="8"/>
  <c r="U459" i="8" s="1"/>
  <c r="R459" i="8"/>
  <c r="B457" i="8"/>
  <c r="D457" i="8" s="1"/>
  <c r="P460" i="8"/>
  <c r="S4" i="30" l="1"/>
  <c r="V460" i="8"/>
  <c r="Q460" i="8"/>
  <c r="C460" i="8" s="1"/>
  <c r="L457" i="8"/>
  <c r="N457" i="8"/>
  <c r="S460" i="8"/>
  <c r="U460" i="8" s="1"/>
  <c r="R460" i="8"/>
  <c r="B458" i="8"/>
  <c r="D458" i="8" s="1"/>
  <c r="P461" i="8"/>
  <c r="AU4" i="30" l="1"/>
  <c r="V461" i="8"/>
  <c r="Q461" i="8"/>
  <c r="C461" i="8" s="1"/>
  <c r="L458" i="8"/>
  <c r="N458" i="8"/>
  <c r="S461" i="8"/>
  <c r="U461" i="8" s="1"/>
  <c r="R461" i="8"/>
  <c r="B459" i="8"/>
  <c r="D459" i="8" s="1"/>
  <c r="P462" i="8"/>
  <c r="T4" i="30" l="1"/>
  <c r="AV4" i="30" s="1"/>
  <c r="U4" i="30" s="1"/>
  <c r="V462" i="8"/>
  <c r="Q462" i="8"/>
  <c r="C462" i="8" s="1"/>
  <c r="L459" i="8"/>
  <c r="N459" i="8"/>
  <c r="S462" i="8"/>
  <c r="U462" i="8" s="1"/>
  <c r="R462" i="8"/>
  <c r="B460" i="8"/>
  <c r="D460" i="8" s="1"/>
  <c r="P463" i="8"/>
  <c r="AW4" i="30" l="1"/>
  <c r="V463" i="8"/>
  <c r="Q463" i="8"/>
  <c r="C463" i="8" s="1"/>
  <c r="L460" i="8"/>
  <c r="N460" i="8"/>
  <c r="S463" i="8"/>
  <c r="U463" i="8" s="1"/>
  <c r="R463" i="8"/>
  <c r="B461" i="8"/>
  <c r="D461" i="8" s="1"/>
  <c r="P464" i="8"/>
  <c r="V4" i="30" l="1"/>
  <c r="V464" i="8"/>
  <c r="Q464" i="8"/>
  <c r="C464" i="8" s="1"/>
  <c r="L461" i="8"/>
  <c r="N461" i="8"/>
  <c r="S464" i="8"/>
  <c r="U464" i="8" s="1"/>
  <c r="R464" i="8"/>
  <c r="B462" i="8"/>
  <c r="D462" i="8" s="1"/>
  <c r="P465" i="8"/>
  <c r="AX4" i="30" l="1"/>
  <c r="V465" i="8"/>
  <c r="Q465" i="8"/>
  <c r="C465" i="8" s="1"/>
  <c r="L462" i="8"/>
  <c r="N462" i="8"/>
  <c r="S465" i="8"/>
  <c r="U465" i="8" s="1"/>
  <c r="R465" i="8"/>
  <c r="B463" i="8"/>
  <c r="D463" i="8" s="1"/>
  <c r="P466" i="8"/>
  <c r="W4" i="30" l="1"/>
  <c r="V466" i="8"/>
  <c r="Q466" i="8"/>
  <c r="C466" i="8" s="1"/>
  <c r="L463" i="8"/>
  <c r="N463" i="8"/>
  <c r="S466" i="8"/>
  <c r="U466" i="8" s="1"/>
  <c r="R466" i="8"/>
  <c r="B464" i="8"/>
  <c r="D464" i="8" s="1"/>
  <c r="P467" i="8"/>
  <c r="AY4" i="30" l="1"/>
  <c r="V467" i="8"/>
  <c r="Q467" i="8"/>
  <c r="C467" i="8" s="1"/>
  <c r="L464" i="8"/>
  <c r="N464" i="8"/>
  <c r="S467" i="8"/>
  <c r="U467" i="8" s="1"/>
  <c r="R467" i="8"/>
  <c r="B465" i="8"/>
  <c r="D465" i="8" s="1"/>
  <c r="P468" i="8"/>
  <c r="X4" i="30" l="1"/>
  <c r="V468" i="8"/>
  <c r="Q468" i="8"/>
  <c r="C468" i="8" s="1"/>
  <c r="L465" i="8"/>
  <c r="N465" i="8"/>
  <c r="S468" i="8"/>
  <c r="U468" i="8" s="1"/>
  <c r="R468" i="8"/>
  <c r="B466" i="8"/>
  <c r="D466" i="8" s="1"/>
  <c r="P469" i="8"/>
  <c r="AZ4" i="30" l="1"/>
  <c r="V469" i="8"/>
  <c r="Q469" i="8"/>
  <c r="C469" i="8" s="1"/>
  <c r="L466" i="8"/>
  <c r="N466" i="8"/>
  <c r="S469" i="8"/>
  <c r="U469" i="8" s="1"/>
  <c r="R469" i="8"/>
  <c r="B467" i="8"/>
  <c r="D467" i="8" s="1"/>
  <c r="P470" i="8"/>
  <c r="Y4" i="30" l="1"/>
  <c r="V470" i="8"/>
  <c r="Q470" i="8"/>
  <c r="C470" i="8" s="1"/>
  <c r="L467" i="8"/>
  <c r="N467" i="8"/>
  <c r="S470" i="8"/>
  <c r="U470" i="8" s="1"/>
  <c r="R470" i="8"/>
  <c r="B468" i="8"/>
  <c r="D468" i="8" s="1"/>
  <c r="P471" i="8"/>
  <c r="BA4" i="30" l="1"/>
  <c r="V471" i="8"/>
  <c r="Q471" i="8"/>
  <c r="C471" i="8" s="1"/>
  <c r="L468" i="8"/>
  <c r="N468" i="8"/>
  <c r="S471" i="8"/>
  <c r="U471" i="8" s="1"/>
  <c r="R471" i="8"/>
  <c r="B469" i="8"/>
  <c r="D469" i="8" s="1"/>
  <c r="P472" i="8"/>
  <c r="Z4" i="30" l="1"/>
  <c r="V472" i="8"/>
  <c r="Q472" i="8"/>
  <c r="C472" i="8" s="1"/>
  <c r="L469" i="8"/>
  <c r="N469" i="8"/>
  <c r="S472" i="8"/>
  <c r="U472" i="8" s="1"/>
  <c r="R472" i="8"/>
  <c r="B470" i="8"/>
  <c r="D470" i="8" s="1"/>
  <c r="P473" i="8"/>
  <c r="BB4" i="30" l="1"/>
  <c r="V473" i="8"/>
  <c r="Q473" i="8"/>
  <c r="C473" i="8" s="1"/>
  <c r="L470" i="8"/>
  <c r="N470" i="8"/>
  <c r="S473" i="8"/>
  <c r="U473" i="8" s="1"/>
  <c r="R473" i="8"/>
  <c r="B471" i="8"/>
  <c r="D471" i="8" s="1"/>
  <c r="P474" i="8"/>
  <c r="AA4" i="30" l="1"/>
  <c r="V474" i="8"/>
  <c r="Q474" i="8"/>
  <c r="C474" i="8" s="1"/>
  <c r="L471" i="8"/>
  <c r="N471" i="8"/>
  <c r="S474" i="8"/>
  <c r="U474" i="8" s="1"/>
  <c r="R474" i="8"/>
  <c r="B472" i="8"/>
  <c r="D472" i="8" s="1"/>
  <c r="P475" i="8"/>
  <c r="BC4" i="30" l="1"/>
  <c r="V475" i="8"/>
  <c r="Q475" i="8"/>
  <c r="C475" i="8" s="1"/>
  <c r="L472" i="8"/>
  <c r="N472" i="8"/>
  <c r="S475" i="8"/>
  <c r="U475" i="8" s="1"/>
  <c r="R475" i="8"/>
  <c r="B473" i="8"/>
  <c r="D473" i="8" s="1"/>
  <c r="P476" i="8"/>
  <c r="AB4" i="30" l="1"/>
  <c r="V476" i="8"/>
  <c r="Q476" i="8"/>
  <c r="C476" i="8" s="1"/>
  <c r="L473" i="8"/>
  <c r="N473" i="8"/>
  <c r="S476" i="8"/>
  <c r="U476" i="8" s="1"/>
  <c r="R476" i="8"/>
  <c r="B474" i="8"/>
  <c r="D474" i="8" s="1"/>
  <c r="P477" i="8"/>
  <c r="BD4" i="30" l="1"/>
  <c r="V477" i="8"/>
  <c r="Q477" i="8"/>
  <c r="C477" i="8" s="1"/>
  <c r="L474" i="8"/>
  <c r="N474" i="8"/>
  <c r="S477" i="8"/>
  <c r="U477" i="8" s="1"/>
  <c r="R477" i="8"/>
  <c r="B475" i="8"/>
  <c r="D475" i="8" s="1"/>
  <c r="P478" i="8"/>
  <c r="AC4" i="30" l="1"/>
  <c r="V478" i="8"/>
  <c r="Q478" i="8"/>
  <c r="C478" i="8" s="1"/>
  <c r="L475" i="8"/>
  <c r="N475" i="8"/>
  <c r="S478" i="8"/>
  <c r="U478" i="8" s="1"/>
  <c r="R478" i="8"/>
  <c r="B476" i="8"/>
  <c r="D476" i="8" s="1"/>
  <c r="P479" i="8"/>
  <c r="AD4" i="30" l="1"/>
  <c r="V479" i="8"/>
  <c r="Q479" i="8"/>
  <c r="C479" i="8" s="1"/>
  <c r="L476" i="8"/>
  <c r="N476" i="8"/>
  <c r="S479" i="8"/>
  <c r="U479" i="8" s="1"/>
  <c r="R479" i="8"/>
  <c r="B477" i="8"/>
  <c r="D477" i="8" s="1"/>
  <c r="P480" i="8"/>
  <c r="AE4" i="30" l="1"/>
  <c r="V480" i="8"/>
  <c r="Q480" i="8"/>
  <c r="C480" i="8" s="1"/>
  <c r="L477" i="8"/>
  <c r="N477" i="8"/>
  <c r="S480" i="8"/>
  <c r="U480" i="8" s="1"/>
  <c r="R480" i="8"/>
  <c r="B478" i="8"/>
  <c r="D478" i="8" s="1"/>
  <c r="P481" i="8"/>
  <c r="AF4" i="30" l="1"/>
  <c r="V481" i="8"/>
  <c r="Q481" i="8"/>
  <c r="C481" i="8" s="1"/>
  <c r="L478" i="8"/>
  <c r="N478" i="8"/>
  <c r="S481" i="8"/>
  <c r="U481" i="8" s="1"/>
  <c r="R481" i="8"/>
  <c r="B479" i="8"/>
  <c r="D479" i="8" s="1"/>
  <c r="P482" i="8"/>
  <c r="V482" i="8" l="1"/>
  <c r="Q482" i="8"/>
  <c r="C482" i="8" s="1"/>
  <c r="L479" i="8"/>
  <c r="N479" i="8"/>
  <c r="S482" i="8"/>
  <c r="U482" i="8" s="1"/>
  <c r="R482" i="8"/>
  <c r="B480" i="8"/>
  <c r="D480" i="8" s="1"/>
  <c r="P483" i="8"/>
  <c r="V483" i="8" l="1"/>
  <c r="Q483" i="8"/>
  <c r="C483" i="8" s="1"/>
  <c r="L480" i="8"/>
  <c r="N480" i="8"/>
  <c r="S483" i="8"/>
  <c r="U483" i="8" s="1"/>
  <c r="R483" i="8"/>
  <c r="B481" i="8"/>
  <c r="D481" i="8" s="1"/>
  <c r="P484" i="8"/>
  <c r="V484" i="8" l="1"/>
  <c r="Q484" i="8"/>
  <c r="C484" i="8" s="1"/>
  <c r="L481" i="8"/>
  <c r="N481" i="8"/>
  <c r="S484" i="8"/>
  <c r="U484" i="8" s="1"/>
  <c r="R484" i="8"/>
  <c r="B482" i="8"/>
  <c r="D482" i="8" s="1"/>
  <c r="P485" i="8"/>
  <c r="V485" i="8" l="1"/>
  <c r="Q485" i="8"/>
  <c r="C485" i="8" s="1"/>
  <c r="L482" i="8"/>
  <c r="N482" i="8"/>
  <c r="S485" i="8"/>
  <c r="U485" i="8" s="1"/>
  <c r="R485" i="8"/>
  <c r="B483" i="8"/>
  <c r="D483" i="8" s="1"/>
  <c r="P486" i="8"/>
  <c r="V486" i="8" l="1"/>
  <c r="Q486" i="8"/>
  <c r="C486" i="8" s="1"/>
  <c r="L483" i="8"/>
  <c r="N483" i="8"/>
  <c r="S486" i="8"/>
  <c r="U486" i="8" s="1"/>
  <c r="R486" i="8"/>
  <c r="B484" i="8"/>
  <c r="D484" i="8" s="1"/>
  <c r="P487" i="8"/>
  <c r="V487" i="8" l="1"/>
  <c r="Q487" i="8"/>
  <c r="C487" i="8" s="1"/>
  <c r="L484" i="8"/>
  <c r="N484" i="8"/>
  <c r="S487" i="8"/>
  <c r="U487" i="8" s="1"/>
  <c r="R487" i="8"/>
  <c r="B485" i="8"/>
  <c r="D485" i="8" s="1"/>
  <c r="P488" i="8"/>
  <c r="V488" i="8" l="1"/>
  <c r="Q488" i="8"/>
  <c r="C488" i="8" s="1"/>
  <c r="L485" i="8"/>
  <c r="N485" i="8"/>
  <c r="S488" i="8"/>
  <c r="U488" i="8" s="1"/>
  <c r="R488" i="8"/>
  <c r="B486" i="8"/>
  <c r="D486" i="8" s="1"/>
  <c r="P489" i="8"/>
  <c r="V489" i="8" l="1"/>
  <c r="Q489" i="8"/>
  <c r="C489" i="8" s="1"/>
  <c r="L486" i="8"/>
  <c r="N486" i="8"/>
  <c r="S489" i="8"/>
  <c r="U489" i="8" s="1"/>
  <c r="R489" i="8"/>
  <c r="B487" i="8"/>
  <c r="D487" i="8" s="1"/>
  <c r="P490" i="8"/>
  <c r="V490" i="8" l="1"/>
  <c r="Q490" i="8"/>
  <c r="C490" i="8" s="1"/>
  <c r="L487" i="8"/>
  <c r="N487" i="8"/>
  <c r="S490" i="8"/>
  <c r="U490" i="8" s="1"/>
  <c r="R490" i="8"/>
  <c r="B488" i="8"/>
  <c r="D488" i="8" s="1"/>
  <c r="P491" i="8"/>
  <c r="V491" i="8" l="1"/>
  <c r="Q491" i="8"/>
  <c r="C491" i="8" s="1"/>
  <c r="L488" i="8"/>
  <c r="N488" i="8"/>
  <c r="S491" i="8"/>
  <c r="U491" i="8" s="1"/>
  <c r="R491" i="8"/>
  <c r="B489" i="8"/>
  <c r="D489" i="8" s="1"/>
  <c r="P492" i="8"/>
  <c r="V492" i="8" l="1"/>
  <c r="Q492" i="8"/>
  <c r="C492" i="8" s="1"/>
  <c r="L489" i="8"/>
  <c r="N489" i="8"/>
  <c r="S492" i="8"/>
  <c r="U492" i="8" s="1"/>
  <c r="R492" i="8"/>
  <c r="B490" i="8"/>
  <c r="D490" i="8" s="1"/>
  <c r="P493" i="8"/>
  <c r="V493" i="8" l="1"/>
  <c r="Q493" i="8"/>
  <c r="C493" i="8" s="1"/>
  <c r="L490" i="8"/>
  <c r="N490" i="8"/>
  <c r="S493" i="8"/>
  <c r="U493" i="8" s="1"/>
  <c r="R493" i="8"/>
  <c r="B491" i="8"/>
  <c r="D491" i="8" s="1"/>
  <c r="P494" i="8"/>
  <c r="V494" i="8" l="1"/>
  <c r="Q494" i="8"/>
  <c r="C494" i="8" s="1"/>
  <c r="L491" i="8"/>
  <c r="N491" i="8"/>
  <c r="S494" i="8"/>
  <c r="U494" i="8" s="1"/>
  <c r="R494" i="8"/>
  <c r="B492" i="8"/>
  <c r="D492" i="8" s="1"/>
  <c r="P495" i="8"/>
  <c r="V495" i="8" l="1"/>
  <c r="Q495" i="8"/>
  <c r="C495" i="8" s="1"/>
  <c r="L492" i="8"/>
  <c r="N492" i="8"/>
  <c r="S495" i="8"/>
  <c r="U495" i="8" s="1"/>
  <c r="R495" i="8"/>
  <c r="B493" i="8"/>
  <c r="D493" i="8" s="1"/>
  <c r="P496" i="8"/>
  <c r="V496" i="8" l="1"/>
  <c r="Q496" i="8"/>
  <c r="C496" i="8" s="1"/>
  <c r="L493" i="8"/>
  <c r="N493" i="8"/>
  <c r="S496" i="8"/>
  <c r="U496" i="8" s="1"/>
  <c r="R496" i="8"/>
  <c r="B494" i="8"/>
  <c r="D494" i="8" s="1"/>
  <c r="P497" i="8"/>
  <c r="V497" i="8" l="1"/>
  <c r="Q497" i="8"/>
  <c r="C497" i="8" s="1"/>
  <c r="L494" i="8"/>
  <c r="N494" i="8"/>
  <c r="S497" i="8"/>
  <c r="U497" i="8" s="1"/>
  <c r="R497" i="8"/>
  <c r="B495" i="8"/>
  <c r="D495" i="8" s="1"/>
  <c r="P498" i="8"/>
  <c r="V498" i="8" l="1"/>
  <c r="Q498" i="8"/>
  <c r="C498" i="8" s="1"/>
  <c r="L495" i="8"/>
  <c r="N495" i="8"/>
  <c r="S498" i="8"/>
  <c r="U498" i="8" s="1"/>
  <c r="R498" i="8"/>
  <c r="B496" i="8"/>
  <c r="D496" i="8" s="1"/>
  <c r="P499" i="8"/>
  <c r="V499" i="8" l="1"/>
  <c r="Q499" i="8"/>
  <c r="C499" i="8" s="1"/>
  <c r="L496" i="8"/>
  <c r="N496" i="8"/>
  <c r="S499" i="8"/>
  <c r="U499" i="8" s="1"/>
  <c r="R499" i="8"/>
  <c r="B497" i="8"/>
  <c r="D497" i="8" s="1"/>
  <c r="P500" i="8"/>
  <c r="V500" i="8" l="1"/>
  <c r="Q500" i="8"/>
  <c r="C500" i="8" s="1"/>
  <c r="L497" i="8"/>
  <c r="N497" i="8"/>
  <c r="S500" i="8"/>
  <c r="U500" i="8" s="1"/>
  <c r="R500" i="8"/>
  <c r="B498" i="8"/>
  <c r="D498" i="8" s="1"/>
  <c r="P501" i="8"/>
  <c r="V501" i="8" l="1"/>
  <c r="Q501" i="8"/>
  <c r="C501" i="8" s="1"/>
  <c r="L498" i="8"/>
  <c r="N498" i="8"/>
  <c r="S501" i="8"/>
  <c r="U501" i="8" s="1"/>
  <c r="R501" i="8"/>
  <c r="B499" i="8"/>
  <c r="D499" i="8" s="1"/>
  <c r="P502" i="8"/>
  <c r="V502" i="8" l="1"/>
  <c r="Q502" i="8"/>
  <c r="C502" i="8" s="1"/>
  <c r="L499" i="8"/>
  <c r="N499" i="8"/>
  <c r="S502" i="8"/>
  <c r="U502" i="8" s="1"/>
  <c r="R502" i="8"/>
  <c r="B500" i="8"/>
  <c r="D500" i="8" s="1"/>
  <c r="P503" i="8"/>
  <c r="V503" i="8" l="1"/>
  <c r="Q503" i="8"/>
  <c r="C503" i="8" s="1"/>
  <c r="L500" i="8"/>
  <c r="N500" i="8"/>
  <c r="S503" i="8"/>
  <c r="U503" i="8" s="1"/>
  <c r="R503" i="8"/>
  <c r="B501" i="8"/>
  <c r="D501" i="8" s="1"/>
  <c r="P504" i="8"/>
  <c r="V504" i="8" l="1"/>
  <c r="Q504" i="8"/>
  <c r="C504" i="8" s="1"/>
  <c r="L501" i="8"/>
  <c r="N501" i="8"/>
  <c r="S504" i="8"/>
  <c r="U504" i="8" s="1"/>
  <c r="R504" i="8"/>
  <c r="B502" i="8"/>
  <c r="D502" i="8" s="1"/>
  <c r="P505" i="8"/>
  <c r="V505" i="8" l="1"/>
  <c r="Q505" i="8"/>
  <c r="C505" i="8" s="1"/>
  <c r="L502" i="8"/>
  <c r="N502" i="8"/>
  <c r="S505" i="8"/>
  <c r="U505" i="8" s="1"/>
  <c r="R505" i="8"/>
  <c r="B503" i="8"/>
  <c r="D503" i="8" s="1"/>
  <c r="P506" i="8"/>
  <c r="V506" i="8" l="1"/>
  <c r="Q506" i="8"/>
  <c r="C506" i="8" s="1"/>
  <c r="L503" i="8"/>
  <c r="N503" i="8"/>
  <c r="S506" i="8"/>
  <c r="U506" i="8" s="1"/>
  <c r="R506" i="8"/>
  <c r="B504" i="8"/>
  <c r="D504" i="8" s="1"/>
  <c r="P507" i="8"/>
  <c r="V507" i="8" l="1"/>
  <c r="Q507" i="8"/>
  <c r="C507" i="8" s="1"/>
  <c r="L504" i="8"/>
  <c r="N504" i="8"/>
  <c r="S507" i="8"/>
  <c r="U507" i="8" s="1"/>
  <c r="R507" i="8"/>
  <c r="B505" i="8"/>
  <c r="D505" i="8" s="1"/>
  <c r="P508" i="8"/>
  <c r="V508" i="8" l="1"/>
  <c r="Q508" i="8"/>
  <c r="C508" i="8" s="1"/>
  <c r="L505" i="8"/>
  <c r="N505" i="8"/>
  <c r="S508" i="8"/>
  <c r="U508" i="8" s="1"/>
  <c r="R508" i="8"/>
  <c r="B506" i="8"/>
  <c r="D506" i="8" s="1"/>
  <c r="P509" i="8"/>
  <c r="V509" i="8" l="1"/>
  <c r="Q509" i="8"/>
  <c r="C509" i="8" s="1"/>
  <c r="L506" i="8"/>
  <c r="N506" i="8"/>
  <c r="S509" i="8"/>
  <c r="U509" i="8" s="1"/>
  <c r="R509" i="8"/>
  <c r="B507" i="8"/>
  <c r="D507" i="8" s="1"/>
  <c r="P510" i="8"/>
  <c r="V510" i="8" l="1"/>
  <c r="Q510" i="8"/>
  <c r="C510" i="8" s="1"/>
  <c r="L507" i="8"/>
  <c r="N507" i="8"/>
  <c r="S510" i="8"/>
  <c r="U510" i="8" s="1"/>
  <c r="R510" i="8"/>
  <c r="B508" i="8"/>
  <c r="D508" i="8" s="1"/>
  <c r="P511" i="8"/>
  <c r="V511" i="8" l="1"/>
  <c r="Q511" i="8"/>
  <c r="C511" i="8" s="1"/>
  <c r="L508" i="8"/>
  <c r="N508" i="8"/>
  <c r="S511" i="8"/>
  <c r="U511" i="8" s="1"/>
  <c r="R511" i="8"/>
  <c r="B509" i="8"/>
  <c r="D509" i="8" s="1"/>
  <c r="P512" i="8"/>
  <c r="V512" i="8" l="1"/>
  <c r="Q512" i="8"/>
  <c r="C512" i="8" s="1"/>
  <c r="L509" i="8"/>
  <c r="N509" i="8"/>
  <c r="S512" i="8"/>
  <c r="U512" i="8" s="1"/>
  <c r="R512" i="8"/>
  <c r="B510" i="8"/>
  <c r="D510" i="8" s="1"/>
  <c r="P513" i="8"/>
  <c r="V513" i="8" l="1"/>
  <c r="Q513" i="8"/>
  <c r="C513" i="8" s="1"/>
  <c r="L510" i="8"/>
  <c r="N510" i="8"/>
  <c r="S513" i="8"/>
  <c r="U513" i="8" s="1"/>
  <c r="R513" i="8"/>
  <c r="B511" i="8"/>
  <c r="D511" i="8" s="1"/>
  <c r="P514" i="8"/>
  <c r="V514" i="8" l="1"/>
  <c r="Q514" i="8"/>
  <c r="C514" i="8" s="1"/>
  <c r="L511" i="8"/>
  <c r="N511" i="8"/>
  <c r="S514" i="8"/>
  <c r="U514" i="8" s="1"/>
  <c r="R514" i="8"/>
  <c r="B512" i="8"/>
  <c r="D512" i="8" s="1"/>
  <c r="P515" i="8"/>
  <c r="V515" i="8" l="1"/>
  <c r="Q515" i="8"/>
  <c r="C515" i="8" s="1"/>
  <c r="L512" i="8"/>
  <c r="N512" i="8"/>
  <c r="S515" i="8"/>
  <c r="U515" i="8" s="1"/>
  <c r="R515" i="8"/>
  <c r="B513" i="8"/>
  <c r="D513" i="8" s="1"/>
  <c r="P516" i="8"/>
  <c r="V516" i="8" l="1"/>
  <c r="Q516" i="8"/>
  <c r="C516" i="8" s="1"/>
  <c r="L513" i="8"/>
  <c r="N513" i="8"/>
  <c r="S516" i="8"/>
  <c r="U516" i="8" s="1"/>
  <c r="R516" i="8"/>
  <c r="B514" i="8"/>
  <c r="D514" i="8" s="1"/>
  <c r="P517" i="8"/>
  <c r="V517" i="8" l="1"/>
  <c r="Q517" i="8"/>
  <c r="C517" i="8" s="1"/>
  <c r="L514" i="8"/>
  <c r="N514" i="8"/>
  <c r="S517" i="8"/>
  <c r="U517" i="8" s="1"/>
  <c r="R517" i="8"/>
  <c r="B515" i="8"/>
  <c r="D515" i="8" s="1"/>
  <c r="P518" i="8"/>
  <c r="V518" i="8" l="1"/>
  <c r="Q518" i="8"/>
  <c r="C518" i="8" s="1"/>
  <c r="L515" i="8"/>
  <c r="N515" i="8"/>
  <c r="S518" i="8"/>
  <c r="U518" i="8" s="1"/>
  <c r="R518" i="8"/>
  <c r="B516" i="8"/>
  <c r="D516" i="8" s="1"/>
  <c r="P519" i="8"/>
  <c r="V519" i="8" l="1"/>
  <c r="Q519" i="8"/>
  <c r="C519" i="8" s="1"/>
  <c r="L516" i="8"/>
  <c r="N516" i="8"/>
  <c r="S519" i="8"/>
  <c r="U519" i="8" s="1"/>
  <c r="R519" i="8"/>
  <c r="B517" i="8"/>
  <c r="D517" i="8" s="1"/>
  <c r="P520" i="8"/>
  <c r="V520" i="8" l="1"/>
  <c r="Q520" i="8"/>
  <c r="C520" i="8" s="1"/>
  <c r="L517" i="8"/>
  <c r="N517" i="8"/>
  <c r="S520" i="8"/>
  <c r="U520" i="8" s="1"/>
  <c r="R520" i="8"/>
  <c r="B518" i="8"/>
  <c r="D518" i="8" s="1"/>
  <c r="P521" i="8"/>
  <c r="V521" i="8" l="1"/>
  <c r="Q521" i="8"/>
  <c r="C521" i="8" s="1"/>
  <c r="L518" i="8"/>
  <c r="N518" i="8"/>
  <c r="S521" i="8"/>
  <c r="U521" i="8" s="1"/>
  <c r="R521" i="8"/>
  <c r="B519" i="8"/>
  <c r="D519" i="8" s="1"/>
  <c r="P522" i="8"/>
  <c r="V522" i="8" l="1"/>
  <c r="Q522" i="8"/>
  <c r="C522" i="8" s="1"/>
  <c r="L519" i="8"/>
  <c r="N519" i="8"/>
  <c r="S522" i="8"/>
  <c r="U522" i="8" s="1"/>
  <c r="R522" i="8"/>
  <c r="B520" i="8"/>
  <c r="D520" i="8" s="1"/>
  <c r="P523" i="8"/>
  <c r="V523" i="8" l="1"/>
  <c r="Q523" i="8"/>
  <c r="C523" i="8" s="1"/>
  <c r="L520" i="8"/>
  <c r="N520" i="8"/>
  <c r="S523" i="8"/>
  <c r="U523" i="8" s="1"/>
  <c r="R523" i="8"/>
  <c r="B521" i="8"/>
  <c r="D521" i="8" s="1"/>
  <c r="P524" i="8"/>
  <c r="V524" i="8" l="1"/>
  <c r="Q524" i="8"/>
  <c r="C524" i="8" s="1"/>
  <c r="L521" i="8"/>
  <c r="N521" i="8"/>
  <c r="S524" i="8"/>
  <c r="U524" i="8" s="1"/>
  <c r="R524" i="8"/>
  <c r="B522" i="8"/>
  <c r="D522" i="8" s="1"/>
  <c r="P525" i="8"/>
  <c r="V525" i="8" l="1"/>
  <c r="Q525" i="8"/>
  <c r="C525" i="8" s="1"/>
  <c r="L522" i="8"/>
  <c r="N522" i="8"/>
  <c r="S525" i="8"/>
  <c r="U525" i="8" s="1"/>
  <c r="R525" i="8"/>
  <c r="B523" i="8"/>
  <c r="D523" i="8" s="1"/>
  <c r="P526" i="8"/>
  <c r="V526" i="8" l="1"/>
  <c r="Q526" i="8"/>
  <c r="C526" i="8" s="1"/>
  <c r="L523" i="8"/>
  <c r="N523" i="8"/>
  <c r="S526" i="8"/>
  <c r="U526" i="8" s="1"/>
  <c r="R526" i="8"/>
  <c r="B524" i="8"/>
  <c r="D524" i="8" s="1"/>
  <c r="P527" i="8"/>
  <c r="V527" i="8" l="1"/>
  <c r="Q527" i="8"/>
  <c r="C527" i="8" s="1"/>
  <c r="L524" i="8"/>
  <c r="N524" i="8"/>
  <c r="S527" i="8"/>
  <c r="U527" i="8" s="1"/>
  <c r="R527" i="8"/>
  <c r="B525" i="8"/>
  <c r="D525" i="8" s="1"/>
  <c r="P528" i="8"/>
  <c r="V528" i="8" l="1"/>
  <c r="Q528" i="8"/>
  <c r="C528" i="8" s="1"/>
  <c r="L525" i="8"/>
  <c r="N525" i="8"/>
  <c r="S528" i="8"/>
  <c r="U528" i="8" s="1"/>
  <c r="R528" i="8"/>
  <c r="B526" i="8"/>
  <c r="D526" i="8" s="1"/>
  <c r="P529" i="8"/>
  <c r="V529" i="8" l="1"/>
  <c r="Q529" i="8"/>
  <c r="C529" i="8" s="1"/>
  <c r="L526" i="8"/>
  <c r="N526" i="8"/>
  <c r="S529" i="8"/>
  <c r="U529" i="8" s="1"/>
  <c r="R529" i="8"/>
  <c r="B527" i="8"/>
  <c r="D527" i="8" s="1"/>
  <c r="P530" i="8"/>
  <c r="V530" i="8" l="1"/>
  <c r="Q530" i="8"/>
  <c r="C530" i="8" s="1"/>
  <c r="L527" i="8"/>
  <c r="N527" i="8"/>
  <c r="S530" i="8"/>
  <c r="U530" i="8" s="1"/>
  <c r="R530" i="8"/>
  <c r="B528" i="8"/>
  <c r="D528" i="8" s="1"/>
  <c r="P531" i="8"/>
  <c r="V531" i="8" l="1"/>
  <c r="Q531" i="8"/>
  <c r="C531" i="8" s="1"/>
  <c r="L528" i="8"/>
  <c r="N528" i="8"/>
  <c r="S531" i="8"/>
  <c r="U531" i="8" s="1"/>
  <c r="R531" i="8"/>
  <c r="B529" i="8"/>
  <c r="D529" i="8" s="1"/>
  <c r="P532" i="8"/>
  <c r="V532" i="8" l="1"/>
  <c r="Q532" i="8"/>
  <c r="C532" i="8" s="1"/>
  <c r="L529" i="8"/>
  <c r="N529" i="8"/>
  <c r="S532" i="8"/>
  <c r="U532" i="8" s="1"/>
  <c r="R532" i="8"/>
  <c r="B530" i="8"/>
  <c r="D530" i="8" s="1"/>
  <c r="P533" i="8"/>
  <c r="V533" i="8" l="1"/>
  <c r="Q533" i="8"/>
  <c r="C533" i="8" s="1"/>
  <c r="L530" i="8"/>
  <c r="N530" i="8"/>
  <c r="S533" i="8"/>
  <c r="U533" i="8" s="1"/>
  <c r="R533" i="8"/>
  <c r="B531" i="8"/>
  <c r="D531" i="8" s="1"/>
  <c r="P534" i="8"/>
  <c r="V534" i="8" l="1"/>
  <c r="Q534" i="8"/>
  <c r="C534" i="8" s="1"/>
  <c r="L531" i="8"/>
  <c r="N531" i="8"/>
  <c r="S534" i="8"/>
  <c r="U534" i="8" s="1"/>
  <c r="R534" i="8"/>
  <c r="B532" i="8"/>
  <c r="D532" i="8" s="1"/>
  <c r="P535" i="8"/>
  <c r="V535" i="8" l="1"/>
  <c r="Q535" i="8"/>
  <c r="C535" i="8" s="1"/>
  <c r="L532" i="8"/>
  <c r="N532" i="8"/>
  <c r="S535" i="8"/>
  <c r="U535" i="8" s="1"/>
  <c r="R535" i="8"/>
  <c r="B533" i="8"/>
  <c r="D533" i="8" s="1"/>
  <c r="P536" i="8"/>
  <c r="V536" i="8" l="1"/>
  <c r="Q536" i="8"/>
  <c r="C536" i="8" s="1"/>
  <c r="L533" i="8"/>
  <c r="N533" i="8"/>
  <c r="S536" i="8"/>
  <c r="U536" i="8" s="1"/>
  <c r="R536" i="8"/>
  <c r="B534" i="8"/>
  <c r="D534" i="8" s="1"/>
  <c r="P537" i="8"/>
  <c r="V537" i="8" l="1"/>
  <c r="Q537" i="8"/>
  <c r="C537" i="8" s="1"/>
  <c r="L534" i="8"/>
  <c r="N534" i="8"/>
  <c r="S537" i="8"/>
  <c r="U537" i="8" s="1"/>
  <c r="R537" i="8"/>
  <c r="B535" i="8"/>
  <c r="D535" i="8" s="1"/>
  <c r="P538" i="8"/>
  <c r="V538" i="8" l="1"/>
  <c r="Q538" i="8"/>
  <c r="C538" i="8" s="1"/>
  <c r="L535" i="8"/>
  <c r="N535" i="8"/>
  <c r="S538" i="8"/>
  <c r="U538" i="8" s="1"/>
  <c r="R538" i="8"/>
  <c r="B536" i="8"/>
  <c r="D536" i="8" s="1"/>
  <c r="P539" i="8"/>
  <c r="V539" i="8" l="1"/>
  <c r="Q539" i="8"/>
  <c r="C539" i="8" s="1"/>
  <c r="L536" i="8"/>
  <c r="N536" i="8"/>
  <c r="S539" i="8"/>
  <c r="U539" i="8" s="1"/>
  <c r="R539" i="8"/>
  <c r="B537" i="8"/>
  <c r="D537" i="8" s="1"/>
  <c r="P540" i="8"/>
  <c r="V540" i="8" l="1"/>
  <c r="Q540" i="8"/>
  <c r="C540" i="8" s="1"/>
  <c r="L537" i="8"/>
  <c r="N537" i="8"/>
  <c r="S540" i="8"/>
  <c r="U540" i="8" s="1"/>
  <c r="R540" i="8"/>
  <c r="B538" i="8"/>
  <c r="D538" i="8" s="1"/>
  <c r="P541" i="8"/>
  <c r="V541" i="8" l="1"/>
  <c r="Q541" i="8"/>
  <c r="C541" i="8" s="1"/>
  <c r="L538" i="8"/>
  <c r="N538" i="8"/>
  <c r="S541" i="8"/>
  <c r="U541" i="8" s="1"/>
  <c r="R541" i="8"/>
  <c r="B539" i="8"/>
  <c r="D539" i="8" s="1"/>
  <c r="P542" i="8"/>
  <c r="V542" i="8" l="1"/>
  <c r="Q542" i="8"/>
  <c r="C542" i="8" s="1"/>
  <c r="L539" i="8"/>
  <c r="N539" i="8"/>
  <c r="S542" i="8"/>
  <c r="U542" i="8" s="1"/>
  <c r="R542" i="8"/>
  <c r="B540" i="8"/>
  <c r="D540" i="8" s="1"/>
  <c r="P543" i="8"/>
  <c r="V543" i="8" l="1"/>
  <c r="Q543" i="8"/>
  <c r="C543" i="8" s="1"/>
  <c r="L540" i="8"/>
  <c r="N540" i="8"/>
  <c r="S543" i="8"/>
  <c r="U543" i="8" s="1"/>
  <c r="R543" i="8"/>
  <c r="B541" i="8"/>
  <c r="D541" i="8" s="1"/>
  <c r="P544" i="8"/>
  <c r="V544" i="8" l="1"/>
  <c r="Q544" i="8"/>
  <c r="C544" i="8" s="1"/>
  <c r="L541" i="8"/>
  <c r="N541" i="8"/>
  <c r="S544" i="8"/>
  <c r="U544" i="8" s="1"/>
  <c r="R544" i="8"/>
  <c r="B542" i="8"/>
  <c r="D542" i="8" s="1"/>
  <c r="P545" i="8"/>
  <c r="V545" i="8" l="1"/>
  <c r="Q545" i="8"/>
  <c r="C545" i="8" s="1"/>
  <c r="L542" i="8"/>
  <c r="N542" i="8"/>
  <c r="S545" i="8"/>
  <c r="U545" i="8" s="1"/>
  <c r="R545" i="8"/>
  <c r="B543" i="8"/>
  <c r="D543" i="8" s="1"/>
  <c r="P546" i="8"/>
  <c r="V546" i="8" l="1"/>
  <c r="Q546" i="8"/>
  <c r="C546" i="8" s="1"/>
  <c r="L543" i="8"/>
  <c r="N543" i="8"/>
  <c r="S546" i="8"/>
  <c r="U546" i="8" s="1"/>
  <c r="R546" i="8"/>
  <c r="B544" i="8"/>
  <c r="D544" i="8" s="1"/>
  <c r="P547" i="8"/>
  <c r="V547" i="8" l="1"/>
  <c r="Q547" i="8"/>
  <c r="C547" i="8" s="1"/>
  <c r="L544" i="8"/>
  <c r="N544" i="8"/>
  <c r="S547" i="8"/>
  <c r="U547" i="8" s="1"/>
  <c r="R547" i="8"/>
  <c r="B545" i="8"/>
  <c r="D545" i="8" s="1"/>
  <c r="P548" i="8"/>
  <c r="V548" i="8" l="1"/>
  <c r="Q548" i="8"/>
  <c r="C548" i="8" s="1"/>
  <c r="L545" i="8"/>
  <c r="N545" i="8"/>
  <c r="S548" i="8"/>
  <c r="U548" i="8" s="1"/>
  <c r="R548" i="8"/>
  <c r="B546" i="8"/>
  <c r="D546" i="8" s="1"/>
  <c r="P549" i="8"/>
  <c r="V549" i="8" l="1"/>
  <c r="Q549" i="8"/>
  <c r="C549" i="8" s="1"/>
  <c r="L546" i="8"/>
  <c r="N546" i="8"/>
  <c r="S549" i="8"/>
  <c r="U549" i="8" s="1"/>
  <c r="R549" i="8"/>
  <c r="B547" i="8"/>
  <c r="D547" i="8" s="1"/>
  <c r="P550" i="8"/>
  <c r="V550" i="8" l="1"/>
  <c r="Q550" i="8"/>
  <c r="C550" i="8" s="1"/>
  <c r="L547" i="8"/>
  <c r="N547" i="8"/>
  <c r="S550" i="8"/>
  <c r="U550" i="8" s="1"/>
  <c r="R550" i="8"/>
  <c r="B548" i="8"/>
  <c r="D548" i="8" s="1"/>
  <c r="P551" i="8"/>
  <c r="V551" i="8" l="1"/>
  <c r="Q551" i="8"/>
  <c r="C551" i="8" s="1"/>
  <c r="L548" i="8"/>
  <c r="N548" i="8"/>
  <c r="S551" i="8"/>
  <c r="U551" i="8" s="1"/>
  <c r="R551" i="8"/>
  <c r="B549" i="8"/>
  <c r="D549" i="8" s="1"/>
  <c r="P552" i="8"/>
  <c r="V552" i="8" l="1"/>
  <c r="Q552" i="8"/>
  <c r="C552" i="8" s="1"/>
  <c r="L549" i="8"/>
  <c r="N549" i="8"/>
  <c r="S552" i="8"/>
  <c r="U552" i="8" s="1"/>
  <c r="R552" i="8"/>
  <c r="B550" i="8"/>
  <c r="D550" i="8" s="1"/>
  <c r="P553" i="8"/>
  <c r="V553" i="8" l="1"/>
  <c r="Q553" i="8"/>
  <c r="C553" i="8" s="1"/>
  <c r="L550" i="8"/>
  <c r="N550" i="8"/>
  <c r="S553" i="8"/>
  <c r="U553" i="8" s="1"/>
  <c r="R553" i="8"/>
  <c r="B551" i="8"/>
  <c r="D551" i="8" s="1"/>
  <c r="P554" i="8"/>
  <c r="V554" i="8" l="1"/>
  <c r="Q554" i="8"/>
  <c r="C554" i="8" s="1"/>
  <c r="L551" i="8"/>
  <c r="N551" i="8"/>
  <c r="S554" i="8"/>
  <c r="U554" i="8" s="1"/>
  <c r="R554" i="8"/>
  <c r="B552" i="8"/>
  <c r="D552" i="8" s="1"/>
  <c r="P555" i="8"/>
  <c r="V555" i="8" l="1"/>
  <c r="Q555" i="8"/>
  <c r="C555" i="8" s="1"/>
  <c r="L552" i="8"/>
  <c r="N552" i="8"/>
  <c r="S555" i="8"/>
  <c r="U555" i="8" s="1"/>
  <c r="R555" i="8"/>
  <c r="B553" i="8"/>
  <c r="D553" i="8" s="1"/>
  <c r="P556" i="8"/>
  <c r="V556" i="8" l="1"/>
  <c r="Q556" i="8"/>
  <c r="C556" i="8" s="1"/>
  <c r="L553" i="8"/>
  <c r="N553" i="8"/>
  <c r="S556" i="8"/>
  <c r="U556" i="8" s="1"/>
  <c r="R556" i="8"/>
  <c r="B554" i="8"/>
  <c r="D554" i="8" s="1"/>
  <c r="P557" i="8"/>
  <c r="V557" i="8" l="1"/>
  <c r="Q557" i="8"/>
  <c r="C557" i="8" s="1"/>
  <c r="L554" i="8"/>
  <c r="N554" i="8"/>
  <c r="S557" i="8"/>
  <c r="U557" i="8" s="1"/>
  <c r="R557" i="8"/>
  <c r="B555" i="8"/>
  <c r="D555" i="8" s="1"/>
  <c r="P558" i="8"/>
  <c r="V558" i="8" l="1"/>
  <c r="Q558" i="8"/>
  <c r="C558" i="8" s="1"/>
  <c r="L555" i="8"/>
  <c r="N555" i="8"/>
  <c r="S558" i="8"/>
  <c r="U558" i="8" s="1"/>
  <c r="R558" i="8"/>
  <c r="B556" i="8"/>
  <c r="D556" i="8" s="1"/>
  <c r="P559" i="8"/>
  <c r="V559" i="8" l="1"/>
  <c r="Q559" i="8"/>
  <c r="C559" i="8" s="1"/>
  <c r="L556" i="8"/>
  <c r="N556" i="8"/>
  <c r="S559" i="8"/>
  <c r="U559" i="8" s="1"/>
  <c r="R559" i="8"/>
  <c r="B557" i="8"/>
  <c r="D557" i="8" s="1"/>
  <c r="P560" i="8"/>
  <c r="V560" i="8" l="1"/>
  <c r="Q560" i="8"/>
  <c r="C560" i="8" s="1"/>
  <c r="L557" i="8"/>
  <c r="N557" i="8"/>
  <c r="S560" i="8"/>
  <c r="U560" i="8" s="1"/>
  <c r="R560" i="8"/>
  <c r="B558" i="8"/>
  <c r="D558" i="8" s="1"/>
  <c r="P561" i="8"/>
  <c r="V561" i="8" l="1"/>
  <c r="Q561" i="8"/>
  <c r="C561" i="8" s="1"/>
  <c r="L558" i="8"/>
  <c r="N558" i="8"/>
  <c r="S561" i="8"/>
  <c r="U561" i="8" s="1"/>
  <c r="R561" i="8"/>
  <c r="B559" i="8"/>
  <c r="D559" i="8" s="1"/>
  <c r="P562" i="8"/>
  <c r="V562" i="8" l="1"/>
  <c r="Q562" i="8"/>
  <c r="C562" i="8" s="1"/>
  <c r="L559" i="8"/>
  <c r="N559" i="8"/>
  <c r="S562" i="8"/>
  <c r="U562" i="8" s="1"/>
  <c r="R562" i="8"/>
  <c r="B560" i="8"/>
  <c r="D560" i="8" s="1"/>
  <c r="P563" i="8"/>
  <c r="V563" i="8" l="1"/>
  <c r="Q563" i="8"/>
  <c r="C563" i="8" s="1"/>
  <c r="L560" i="8"/>
  <c r="N560" i="8"/>
  <c r="S563" i="8"/>
  <c r="U563" i="8" s="1"/>
  <c r="R563" i="8"/>
  <c r="B561" i="8"/>
  <c r="D561" i="8" s="1"/>
  <c r="P564" i="8"/>
  <c r="V564" i="8" l="1"/>
  <c r="Q564" i="8"/>
  <c r="C564" i="8" s="1"/>
  <c r="L561" i="8"/>
  <c r="N561" i="8"/>
  <c r="S564" i="8"/>
  <c r="U564" i="8" s="1"/>
  <c r="R564" i="8"/>
  <c r="B562" i="8"/>
  <c r="D562" i="8" s="1"/>
  <c r="P565" i="8"/>
  <c r="V565" i="8" l="1"/>
  <c r="Q565" i="8"/>
  <c r="C565" i="8" s="1"/>
  <c r="L562" i="8"/>
  <c r="N562" i="8"/>
  <c r="S565" i="8"/>
  <c r="U565" i="8" s="1"/>
  <c r="R565" i="8"/>
  <c r="B563" i="8"/>
  <c r="D563" i="8" s="1"/>
  <c r="P566" i="8"/>
  <c r="V566" i="8" l="1"/>
  <c r="Q566" i="8"/>
  <c r="C566" i="8" s="1"/>
  <c r="L563" i="8"/>
  <c r="N563" i="8"/>
  <c r="S566" i="8"/>
  <c r="U566" i="8" s="1"/>
  <c r="R566" i="8"/>
  <c r="B564" i="8"/>
  <c r="D564" i="8" s="1"/>
  <c r="P567" i="8"/>
  <c r="V567" i="8" l="1"/>
  <c r="Q567" i="8"/>
  <c r="C567" i="8" s="1"/>
  <c r="L564" i="8"/>
  <c r="N564" i="8"/>
  <c r="S567" i="8"/>
  <c r="U567" i="8" s="1"/>
  <c r="R567" i="8"/>
  <c r="B565" i="8"/>
  <c r="D565" i="8" s="1"/>
  <c r="P568" i="8"/>
  <c r="V568" i="8" l="1"/>
  <c r="Q568" i="8"/>
  <c r="C568" i="8" s="1"/>
  <c r="L565" i="8"/>
  <c r="N565" i="8"/>
  <c r="S568" i="8"/>
  <c r="U568" i="8" s="1"/>
  <c r="R568" i="8"/>
  <c r="B566" i="8"/>
  <c r="D566" i="8" s="1"/>
  <c r="P569" i="8"/>
  <c r="V569" i="8" l="1"/>
  <c r="Q569" i="8"/>
  <c r="C569" i="8" s="1"/>
  <c r="L566" i="8"/>
  <c r="N566" i="8"/>
  <c r="S569" i="8"/>
  <c r="U569" i="8" s="1"/>
  <c r="R569" i="8"/>
  <c r="B567" i="8"/>
  <c r="D567" i="8" s="1"/>
  <c r="P570" i="8"/>
  <c r="V570" i="8" l="1"/>
  <c r="Q570" i="8"/>
  <c r="C570" i="8" s="1"/>
  <c r="L567" i="8"/>
  <c r="N567" i="8"/>
  <c r="S570" i="8"/>
  <c r="U570" i="8" s="1"/>
  <c r="R570" i="8"/>
  <c r="B568" i="8"/>
  <c r="D568" i="8" s="1"/>
  <c r="P571" i="8"/>
  <c r="V571" i="8" l="1"/>
  <c r="Q571" i="8"/>
  <c r="C571" i="8" s="1"/>
  <c r="L568" i="8"/>
  <c r="N568" i="8"/>
  <c r="S571" i="8"/>
  <c r="U571" i="8" s="1"/>
  <c r="R571" i="8"/>
  <c r="B569" i="8"/>
  <c r="D569" i="8" s="1"/>
  <c r="P572" i="8"/>
  <c r="V572" i="8" l="1"/>
  <c r="Q572" i="8"/>
  <c r="C572" i="8" s="1"/>
  <c r="L569" i="8"/>
  <c r="N569" i="8"/>
  <c r="S572" i="8"/>
  <c r="U572" i="8" s="1"/>
  <c r="R572" i="8"/>
  <c r="B570" i="8"/>
  <c r="D570" i="8" s="1"/>
  <c r="P573" i="8"/>
  <c r="V573" i="8" l="1"/>
  <c r="Q573" i="8"/>
  <c r="C573" i="8" s="1"/>
  <c r="L570" i="8"/>
  <c r="N570" i="8"/>
  <c r="S573" i="8"/>
  <c r="U573" i="8" s="1"/>
  <c r="R573" i="8"/>
  <c r="B571" i="8"/>
  <c r="D571" i="8" s="1"/>
  <c r="P574" i="8"/>
  <c r="V574" i="8" l="1"/>
  <c r="Q574" i="8"/>
  <c r="C574" i="8" s="1"/>
  <c r="L571" i="8"/>
  <c r="N571" i="8"/>
  <c r="S574" i="8"/>
  <c r="U574" i="8" s="1"/>
  <c r="R574" i="8"/>
  <c r="B572" i="8"/>
  <c r="D572" i="8" s="1"/>
  <c r="P575" i="8"/>
  <c r="V575" i="8" l="1"/>
  <c r="Q575" i="8"/>
  <c r="C575" i="8" s="1"/>
  <c r="L572" i="8"/>
  <c r="N572" i="8"/>
  <c r="S575" i="8"/>
  <c r="U575" i="8" s="1"/>
  <c r="R575" i="8"/>
  <c r="B573" i="8"/>
  <c r="D573" i="8" s="1"/>
  <c r="P576" i="8"/>
  <c r="V576" i="8" l="1"/>
  <c r="Q576" i="8"/>
  <c r="C576" i="8" s="1"/>
  <c r="L573" i="8"/>
  <c r="N573" i="8"/>
  <c r="S576" i="8"/>
  <c r="U576" i="8" s="1"/>
  <c r="R576" i="8"/>
  <c r="B574" i="8"/>
  <c r="D574" i="8" s="1"/>
  <c r="P577" i="8"/>
  <c r="V577" i="8" l="1"/>
  <c r="Q577" i="8"/>
  <c r="C577" i="8" s="1"/>
  <c r="L574" i="8"/>
  <c r="N574" i="8"/>
  <c r="S577" i="8"/>
  <c r="U577" i="8" s="1"/>
  <c r="R577" i="8"/>
  <c r="B575" i="8"/>
  <c r="D575" i="8" s="1"/>
  <c r="P578" i="8"/>
  <c r="V578" i="8" l="1"/>
  <c r="Q578" i="8"/>
  <c r="C578" i="8" s="1"/>
  <c r="L575" i="8"/>
  <c r="N575" i="8"/>
  <c r="S578" i="8"/>
  <c r="U578" i="8" s="1"/>
  <c r="R578" i="8"/>
  <c r="B576" i="8"/>
  <c r="D576" i="8" s="1"/>
  <c r="P579" i="8"/>
  <c r="V579" i="8" l="1"/>
  <c r="Q579" i="8"/>
  <c r="C579" i="8" s="1"/>
  <c r="L576" i="8"/>
  <c r="N576" i="8"/>
  <c r="S579" i="8"/>
  <c r="U579" i="8" s="1"/>
  <c r="R579" i="8"/>
  <c r="B577" i="8"/>
  <c r="D577" i="8" s="1"/>
  <c r="P580" i="8"/>
  <c r="V580" i="8" l="1"/>
  <c r="Q580" i="8"/>
  <c r="C580" i="8" s="1"/>
  <c r="L577" i="8"/>
  <c r="N577" i="8"/>
  <c r="S580" i="8"/>
  <c r="U580" i="8" s="1"/>
  <c r="R580" i="8"/>
  <c r="B578" i="8"/>
  <c r="D578" i="8" s="1"/>
  <c r="P581" i="8"/>
  <c r="V581" i="8" l="1"/>
  <c r="Q581" i="8"/>
  <c r="C581" i="8" s="1"/>
  <c r="L578" i="8"/>
  <c r="N578" i="8"/>
  <c r="S581" i="8"/>
  <c r="U581" i="8" s="1"/>
  <c r="R581" i="8"/>
  <c r="B579" i="8"/>
  <c r="D579" i="8" s="1"/>
  <c r="P582" i="8"/>
  <c r="V582" i="8" l="1"/>
  <c r="Q582" i="8"/>
  <c r="C582" i="8" s="1"/>
  <c r="L579" i="8"/>
  <c r="N579" i="8"/>
  <c r="S582" i="8"/>
  <c r="U582" i="8" s="1"/>
  <c r="R582" i="8"/>
  <c r="B580" i="8"/>
  <c r="D580" i="8" s="1"/>
  <c r="P583" i="8"/>
  <c r="V583" i="8" l="1"/>
  <c r="Q583" i="8"/>
  <c r="C583" i="8" s="1"/>
  <c r="L580" i="8"/>
  <c r="N580" i="8"/>
  <c r="S583" i="8"/>
  <c r="U583" i="8" s="1"/>
  <c r="R583" i="8"/>
  <c r="B581" i="8"/>
  <c r="D581" i="8" s="1"/>
  <c r="P584" i="8"/>
  <c r="V584" i="8" l="1"/>
  <c r="Q584" i="8"/>
  <c r="C584" i="8" s="1"/>
  <c r="L581" i="8"/>
  <c r="N581" i="8"/>
  <c r="S584" i="8"/>
  <c r="U584" i="8" s="1"/>
  <c r="R584" i="8"/>
  <c r="B582" i="8"/>
  <c r="D582" i="8" s="1"/>
  <c r="P585" i="8"/>
  <c r="V585" i="8" l="1"/>
  <c r="Q585" i="8"/>
  <c r="C585" i="8" s="1"/>
  <c r="L582" i="8"/>
  <c r="N582" i="8"/>
  <c r="S585" i="8"/>
  <c r="U585" i="8" s="1"/>
  <c r="R585" i="8"/>
  <c r="B583" i="8"/>
  <c r="D583" i="8" s="1"/>
  <c r="P586" i="8"/>
  <c r="Q586" i="8" s="1"/>
  <c r="V586" i="8" l="1"/>
  <c r="P587" i="8"/>
  <c r="V587" i="8" s="1"/>
  <c r="L583" i="8"/>
  <c r="N583" i="8"/>
  <c r="S586" i="8"/>
  <c r="U586" i="8" s="1"/>
  <c r="R586" i="8"/>
  <c r="B584" i="8"/>
  <c r="D584" i="8" s="1"/>
  <c r="C586" i="8"/>
  <c r="P588" i="8" l="1"/>
  <c r="V588" i="8" s="1"/>
  <c r="Q587" i="8"/>
  <c r="C587" i="8" s="1"/>
  <c r="L584" i="8"/>
  <c r="N584" i="8"/>
  <c r="S587" i="8"/>
  <c r="U587" i="8" s="1"/>
  <c r="R587" i="8"/>
  <c r="B585" i="8"/>
  <c r="D585" i="8" s="1"/>
  <c r="P589" i="8" l="1"/>
  <c r="V589" i="8" s="1"/>
  <c r="Q588" i="8"/>
  <c r="C588" i="8" s="1"/>
  <c r="L585" i="8"/>
  <c r="N585" i="8"/>
  <c r="S588" i="8"/>
  <c r="U588" i="8" s="1"/>
  <c r="R588" i="8"/>
  <c r="B586" i="8"/>
  <c r="D586" i="8" s="1"/>
  <c r="P590" i="8" l="1"/>
  <c r="Q589" i="8"/>
  <c r="C589" i="8" s="1"/>
  <c r="L586" i="8"/>
  <c r="N586" i="8"/>
  <c r="S589" i="8"/>
  <c r="U589" i="8" s="1"/>
  <c r="R589" i="8"/>
  <c r="B587" i="8"/>
  <c r="D587" i="8" s="1"/>
  <c r="P591" i="8" l="1"/>
  <c r="V591" i="8" s="1"/>
  <c r="Q590" i="8"/>
  <c r="C590" i="8" s="1"/>
  <c r="V590" i="8"/>
  <c r="L587" i="8"/>
  <c r="N587" i="8"/>
  <c r="S590" i="8"/>
  <c r="U590" i="8" s="1"/>
  <c r="R590" i="8"/>
  <c r="B588" i="8"/>
  <c r="D588" i="8" s="1"/>
  <c r="P592" i="8" l="1"/>
  <c r="V592" i="8" s="1"/>
  <c r="Q591" i="8"/>
  <c r="C591" i="8" s="1"/>
  <c r="L588" i="8"/>
  <c r="N588" i="8"/>
  <c r="S591" i="8"/>
  <c r="U591" i="8" s="1"/>
  <c r="R591" i="8"/>
  <c r="B589" i="8"/>
  <c r="D589" i="8" s="1"/>
  <c r="P593" i="8" l="1"/>
  <c r="V593" i="8" s="1"/>
  <c r="Q592" i="8"/>
  <c r="C592" i="8" s="1"/>
  <c r="L589" i="8"/>
  <c r="N589" i="8"/>
  <c r="S592" i="8"/>
  <c r="U592" i="8" s="1"/>
  <c r="R592" i="8"/>
  <c r="B590" i="8"/>
  <c r="D590" i="8" s="1"/>
  <c r="P594" i="8" l="1"/>
  <c r="V594" i="8" s="1"/>
  <c r="Q593" i="8"/>
  <c r="C593" i="8" s="1"/>
  <c r="L590" i="8"/>
  <c r="N590" i="8"/>
  <c r="S593" i="8"/>
  <c r="U593" i="8" s="1"/>
  <c r="R593" i="8"/>
  <c r="B591" i="8"/>
  <c r="D591" i="8" s="1"/>
  <c r="P595" i="8" l="1"/>
  <c r="V595" i="8" s="1"/>
  <c r="Q594" i="8"/>
  <c r="C594" i="8" s="1"/>
  <c r="L591" i="8"/>
  <c r="N591" i="8"/>
  <c r="S594" i="8"/>
  <c r="U594" i="8" s="1"/>
  <c r="R594" i="8"/>
  <c r="B592" i="8"/>
  <c r="D592" i="8" s="1"/>
  <c r="P596" i="8" l="1"/>
  <c r="V596" i="8" s="1"/>
  <c r="Q595" i="8"/>
  <c r="C595" i="8" s="1"/>
  <c r="L592" i="8"/>
  <c r="N592" i="8"/>
  <c r="S595" i="8"/>
  <c r="U595" i="8" s="1"/>
  <c r="R595" i="8"/>
  <c r="B593" i="8"/>
  <c r="D593" i="8" s="1"/>
  <c r="P597" i="8" l="1"/>
  <c r="Q596" i="8"/>
  <c r="C596" i="8" s="1"/>
  <c r="L593" i="8"/>
  <c r="N593" i="8"/>
  <c r="S596" i="8"/>
  <c r="U596" i="8" s="1"/>
  <c r="R596" i="8"/>
  <c r="B594" i="8"/>
  <c r="D594" i="8" s="1"/>
  <c r="P598" i="8" l="1"/>
  <c r="R598" i="8" s="1"/>
  <c r="Q597" i="8"/>
  <c r="C597" i="8" s="1"/>
  <c r="L594" i="8"/>
  <c r="N594" i="8"/>
  <c r="R597" i="8"/>
  <c r="V597" i="8"/>
  <c r="B595" i="8"/>
  <c r="D595" i="8" s="1"/>
  <c r="S597" i="8"/>
  <c r="U597" i="8" s="1"/>
  <c r="S598" i="8" l="1"/>
  <c r="U598" i="8" s="1"/>
  <c r="P599" i="8"/>
  <c r="R599" i="8" s="1"/>
  <c r="Q598" i="8"/>
  <c r="C598" i="8" s="1"/>
  <c r="V598" i="8"/>
  <c r="L595" i="8"/>
  <c r="N595" i="8"/>
  <c r="B596" i="8"/>
  <c r="D596" i="8" s="1"/>
  <c r="S599" i="8" l="1"/>
  <c r="U599" i="8" s="1"/>
  <c r="P600" i="8"/>
  <c r="R600" i="8" s="1"/>
  <c r="Q599" i="8"/>
  <c r="C599" i="8" s="1"/>
  <c r="V599" i="8"/>
  <c r="L596" i="8"/>
  <c r="N596" i="8"/>
  <c r="B597" i="8"/>
  <c r="D597" i="8" s="1"/>
  <c r="E13" i="26" l="1"/>
  <c r="S600" i="8"/>
  <c r="U600" i="8" s="1"/>
  <c r="P601" i="8"/>
  <c r="S601" i="8" s="1"/>
  <c r="U601" i="8" s="1"/>
  <c r="Q600" i="8"/>
  <c r="C600" i="8" s="1"/>
  <c r="V600" i="8"/>
  <c r="L597" i="8"/>
  <c r="N597" i="8"/>
  <c r="B598" i="8"/>
  <c r="D31" i="26" l="1"/>
  <c r="D20" i="26"/>
  <c r="D24" i="26"/>
  <c r="D25" i="26"/>
  <c r="D18" i="26"/>
  <c r="D19" i="26"/>
  <c r="E29" i="26"/>
  <c r="D30" i="26"/>
  <c r="E19" i="26"/>
  <c r="D27" i="26"/>
  <c r="E28" i="26"/>
  <c r="E33" i="26"/>
  <c r="E18" i="26"/>
  <c r="E34" i="26"/>
  <c r="E24" i="26"/>
  <c r="E16" i="26"/>
  <c r="E14" i="26"/>
  <c r="D28" i="26"/>
  <c r="E17" i="26"/>
  <c r="E21" i="26"/>
  <c r="E35" i="26"/>
  <c r="D32" i="26"/>
  <c r="D22" i="26"/>
  <c r="E30" i="26"/>
  <c r="E25" i="26"/>
  <c r="E23" i="26"/>
  <c r="D33" i="26"/>
  <c r="E31" i="26"/>
  <c r="E20" i="26"/>
  <c r="D29" i="26"/>
  <c r="E15" i="26"/>
  <c r="D23" i="26"/>
  <c r="D26" i="26"/>
  <c r="D34" i="26"/>
  <c r="E22" i="26"/>
  <c r="D21" i="26"/>
  <c r="E27" i="26"/>
  <c r="E32" i="26"/>
  <c r="D17" i="26"/>
  <c r="E26" i="26"/>
  <c r="D15" i="26"/>
  <c r="D35" i="26"/>
  <c r="D16" i="26"/>
  <c r="D12" i="26"/>
  <c r="D10" i="26"/>
  <c r="E12" i="26"/>
  <c r="E10" i="26"/>
  <c r="D14" i="26"/>
  <c r="D13" i="26"/>
  <c r="B599" i="8"/>
  <c r="D598" i="8"/>
  <c r="L598" i="8" s="1"/>
  <c r="P602" i="8"/>
  <c r="Q601" i="8"/>
  <c r="C601" i="8" s="1"/>
  <c r="V601" i="8"/>
  <c r="R601" i="8"/>
  <c r="N598" i="8"/>
  <c r="D36" i="26" l="1"/>
  <c r="D40" i="26" s="1"/>
  <c r="E36" i="26"/>
  <c r="E40" i="26" s="1"/>
  <c r="B600" i="8"/>
  <c r="D599" i="8"/>
  <c r="L599" i="8" s="1"/>
  <c r="P603" i="8"/>
  <c r="V603" i="8" s="1"/>
  <c r="Q602" i="8"/>
  <c r="C602" i="8" s="1"/>
  <c r="V602" i="8"/>
  <c r="S602" i="8"/>
  <c r="U602" i="8" s="1"/>
  <c r="R602" i="8"/>
  <c r="N599" i="8"/>
  <c r="B601" i="8" l="1"/>
  <c r="D600" i="8"/>
  <c r="L600" i="8" s="1"/>
  <c r="R603" i="8"/>
  <c r="S603" i="8"/>
  <c r="U603" i="8" s="1"/>
  <c r="P604" i="8"/>
  <c r="S604" i="8" s="1"/>
  <c r="U604" i="8" s="1"/>
  <c r="Q603" i="8"/>
  <c r="C603" i="8" s="1"/>
  <c r="N600" i="8"/>
  <c r="B602" i="8" l="1"/>
  <c r="D601" i="8"/>
  <c r="L601" i="8" s="1"/>
  <c r="V604" i="8"/>
  <c r="R604" i="8"/>
  <c r="P605" i="8"/>
  <c r="V605" i="8" s="1"/>
  <c r="Q604" i="8"/>
  <c r="C604" i="8" s="1"/>
  <c r="N601" i="8"/>
  <c r="B603" i="8" l="1"/>
  <c r="N603" i="8" s="1"/>
  <c r="D602" i="8"/>
  <c r="L602" i="8" s="1"/>
  <c r="S605" i="8"/>
  <c r="U605" i="8" s="1"/>
  <c r="P606" i="8"/>
  <c r="R606" i="8" s="1"/>
  <c r="Q605" i="8"/>
  <c r="C605" i="8" s="1"/>
  <c r="R605" i="8"/>
  <c r="N602" i="8"/>
  <c r="H28" i="26" l="1"/>
  <c r="I21" i="26"/>
  <c r="I32" i="26"/>
  <c r="H27" i="26"/>
  <c r="I35" i="26"/>
  <c r="I15" i="26"/>
  <c r="H34" i="26"/>
  <c r="H33" i="26"/>
  <c r="H13" i="26"/>
  <c r="I25" i="26"/>
  <c r="I24" i="26"/>
  <c r="I27" i="26"/>
  <c r="H31" i="26"/>
  <c r="H12" i="26"/>
  <c r="H16" i="26"/>
  <c r="I31" i="26"/>
  <c r="H25" i="26"/>
  <c r="H24" i="26"/>
  <c r="I26" i="26"/>
  <c r="I23" i="26"/>
  <c r="H14" i="26"/>
  <c r="H22" i="26"/>
  <c r="H15" i="26"/>
  <c r="I12" i="26"/>
  <c r="I13" i="26"/>
  <c r="H23" i="26"/>
  <c r="H26" i="26"/>
  <c r="I14" i="26"/>
  <c r="I33" i="26"/>
  <c r="I16" i="26"/>
  <c r="I29" i="26"/>
  <c r="H35" i="26"/>
  <c r="H29" i="26"/>
  <c r="I28" i="26"/>
  <c r="H32" i="26"/>
  <c r="I17" i="26"/>
  <c r="I34" i="26"/>
  <c r="I22" i="26"/>
  <c r="H21" i="26"/>
  <c r="I30" i="26"/>
  <c r="H17" i="26"/>
  <c r="H30" i="26"/>
  <c r="H10" i="26"/>
  <c r="I10" i="26"/>
  <c r="B604" i="8"/>
  <c r="N604" i="8" s="1"/>
  <c r="D603" i="8"/>
  <c r="L603" i="8" s="1"/>
  <c r="S606" i="8"/>
  <c r="U606" i="8" s="1"/>
  <c r="V606" i="8"/>
  <c r="P607" i="8"/>
  <c r="V607" i="8" s="1"/>
  <c r="Q606" i="8"/>
  <c r="C606" i="8" s="1"/>
  <c r="B605" i="8" l="1"/>
  <c r="N605" i="8" s="1"/>
  <c r="D604" i="8"/>
  <c r="L604" i="8" s="1"/>
  <c r="S607" i="8"/>
  <c r="U607" i="8" s="1"/>
  <c r="R607" i="8"/>
  <c r="P608" i="8"/>
  <c r="Q607" i="8"/>
  <c r="C607" i="8" s="1"/>
  <c r="B606" i="8" l="1"/>
  <c r="N606" i="8" s="1"/>
  <c r="D605" i="8"/>
  <c r="L605" i="8" s="1"/>
  <c r="P609" i="8"/>
  <c r="V609" i="8" s="1"/>
  <c r="Q608" i="8"/>
  <c r="C608" i="8" s="1"/>
  <c r="S608" i="8"/>
  <c r="U608" i="8" s="1"/>
  <c r="V608" i="8"/>
  <c r="R608" i="8"/>
  <c r="B607" i="8" l="1"/>
  <c r="N607" i="8" s="1"/>
  <c r="D606" i="8"/>
  <c r="L606" i="8" s="1"/>
  <c r="S609" i="8"/>
  <c r="U609" i="8" s="1"/>
  <c r="R609" i="8"/>
  <c r="P610" i="8"/>
  <c r="V610" i="8" s="1"/>
  <c r="Q609" i="8"/>
  <c r="C609" i="8" s="1"/>
  <c r="B608" i="8" l="1"/>
  <c r="N608" i="8" s="1"/>
  <c r="D607" i="8"/>
  <c r="L607" i="8" s="1"/>
  <c r="R610" i="8"/>
  <c r="S610" i="8"/>
  <c r="U610" i="8" s="1"/>
  <c r="P611" i="8"/>
  <c r="V611" i="8" s="1"/>
  <c r="Q610" i="8"/>
  <c r="C610" i="8" s="1"/>
  <c r="B609" i="8" l="1"/>
  <c r="N609" i="8" s="1"/>
  <c r="D608" i="8"/>
  <c r="L608" i="8" s="1"/>
  <c r="P612" i="8"/>
  <c r="Q611" i="8"/>
  <c r="C611" i="8" s="1"/>
  <c r="R611" i="8"/>
  <c r="S611" i="8"/>
  <c r="U611" i="8" s="1"/>
  <c r="B610" i="8" l="1"/>
  <c r="D609" i="8"/>
  <c r="L609" i="8" s="1"/>
  <c r="P613" i="8"/>
  <c r="R613" i="8" s="1"/>
  <c r="Q612" i="8"/>
  <c r="C612" i="8" s="1"/>
  <c r="R612" i="8"/>
  <c r="V612" i="8"/>
  <c r="S612" i="8"/>
  <c r="U612" i="8" s="1"/>
  <c r="B611" i="8" l="1"/>
  <c r="N611" i="8" s="1"/>
  <c r="D610" i="8"/>
  <c r="L610" i="8" s="1"/>
  <c r="N610" i="8"/>
  <c r="S613" i="8"/>
  <c r="U613" i="8" s="1"/>
  <c r="V613" i="8"/>
  <c r="P614" i="8"/>
  <c r="Q613" i="8"/>
  <c r="C613" i="8" s="1"/>
  <c r="B612" i="8" l="1"/>
  <c r="N612" i="8" s="1"/>
  <c r="D611" i="8"/>
  <c r="L611" i="8" s="1"/>
  <c r="Q614" i="8"/>
  <c r="C614" i="8" s="1"/>
  <c r="S614" i="8"/>
  <c r="U614" i="8" s="1"/>
  <c r="P615" i="8"/>
  <c r="R614" i="8"/>
  <c r="V614" i="8"/>
  <c r="B613" i="8" l="1"/>
  <c r="N613" i="8" s="1"/>
  <c r="D612" i="8"/>
  <c r="L612" i="8" s="1"/>
  <c r="P616" i="8"/>
  <c r="Q615" i="8"/>
  <c r="C615" i="8" s="1"/>
  <c r="V615" i="8"/>
  <c r="S615" i="8"/>
  <c r="U615" i="8" s="1"/>
  <c r="R615" i="8"/>
  <c r="B614" i="8" l="1"/>
  <c r="D613" i="8"/>
  <c r="L613" i="8" s="1"/>
  <c r="Q616" i="8"/>
  <c r="C616" i="8" s="1"/>
  <c r="V616" i="8"/>
  <c r="R616" i="8"/>
  <c r="S616" i="8"/>
  <c r="U616" i="8" s="1"/>
  <c r="P617" i="8"/>
  <c r="B615" i="8" l="1"/>
  <c r="D614" i="8"/>
  <c r="L614" i="8" s="1"/>
  <c r="N614" i="8"/>
  <c r="Q617" i="8"/>
  <c r="C617" i="8" s="1"/>
  <c r="R617" i="8"/>
  <c r="S617" i="8"/>
  <c r="U617" i="8" s="1"/>
  <c r="P618" i="8"/>
  <c r="V617" i="8"/>
  <c r="D615" i="8" l="1"/>
  <c r="L615" i="8" s="1"/>
  <c r="B616" i="8"/>
  <c r="N615" i="8"/>
  <c r="Q618" i="8"/>
  <c r="C618" i="8" s="1"/>
  <c r="S618" i="8"/>
  <c r="U618" i="8" s="1"/>
  <c r="V618" i="8"/>
  <c r="P619" i="8"/>
  <c r="R618" i="8"/>
  <c r="D616" i="8" l="1"/>
  <c r="L616" i="8" s="1"/>
  <c r="B617" i="8"/>
  <c r="N616" i="8"/>
  <c r="Q619" i="8"/>
  <c r="C619" i="8" s="1"/>
  <c r="V619" i="8"/>
  <c r="P620" i="8"/>
  <c r="R619" i="8"/>
  <c r="S619" i="8"/>
  <c r="U619" i="8" s="1"/>
  <c r="D617" i="8" l="1"/>
  <c r="L617" i="8" s="1"/>
  <c r="B618" i="8"/>
  <c r="N617" i="8"/>
  <c r="P621" i="8"/>
  <c r="Q620" i="8"/>
  <c r="C620" i="8" s="1"/>
  <c r="V620" i="8"/>
  <c r="R620" i="8"/>
  <c r="S620" i="8"/>
  <c r="U620" i="8" s="1"/>
  <c r="D618" i="8" l="1"/>
  <c r="L618" i="8" s="1"/>
  <c r="B619" i="8"/>
  <c r="N618" i="8"/>
  <c r="Q621" i="8"/>
  <c r="C621" i="8" s="1"/>
  <c r="P622" i="8"/>
  <c r="V621" i="8"/>
  <c r="R621" i="8"/>
  <c r="S621" i="8"/>
  <c r="U621" i="8" s="1"/>
  <c r="D619" i="8" l="1"/>
  <c r="L619" i="8" s="1"/>
  <c r="B620" i="8"/>
  <c r="N619" i="8"/>
  <c r="Q622" i="8"/>
  <c r="C622" i="8" s="1"/>
  <c r="R622" i="8"/>
  <c r="S622" i="8"/>
  <c r="U622" i="8" s="1"/>
  <c r="P623" i="8"/>
  <c r="V622" i="8"/>
  <c r="B621" i="8" l="1"/>
  <c r="D620" i="8"/>
  <c r="L620" i="8" s="1"/>
  <c r="N620" i="8"/>
  <c r="Q623" i="8"/>
  <c r="C623" i="8" s="1"/>
  <c r="V623" i="8"/>
  <c r="P624" i="8"/>
  <c r="R623" i="8"/>
  <c r="S623" i="8"/>
  <c r="U623" i="8" s="1"/>
  <c r="D621" i="8" l="1"/>
  <c r="L621" i="8" s="1"/>
  <c r="B622" i="8"/>
  <c r="N621" i="8"/>
  <c r="Q624" i="8"/>
  <c r="C624" i="8" s="1"/>
  <c r="S624" i="8"/>
  <c r="U624" i="8" s="1"/>
  <c r="V624" i="8"/>
  <c r="R624" i="8"/>
  <c r="P625" i="8"/>
  <c r="D622" i="8" l="1"/>
  <c r="L622" i="8" s="1"/>
  <c r="B623" i="8"/>
  <c r="N622" i="8"/>
  <c r="Q625" i="8"/>
  <c r="C625" i="8" s="1"/>
  <c r="R625" i="8"/>
  <c r="S625" i="8"/>
  <c r="U625" i="8" s="1"/>
  <c r="V625" i="8"/>
  <c r="P626" i="8"/>
  <c r="D623" i="8" l="1"/>
  <c r="L623" i="8" s="1"/>
  <c r="B624" i="8"/>
  <c r="N623" i="8"/>
  <c r="Q626" i="8"/>
  <c r="C626" i="8" s="1"/>
  <c r="P627" i="8"/>
  <c r="V626" i="8"/>
  <c r="R626" i="8"/>
  <c r="S626" i="8"/>
  <c r="U626" i="8" s="1"/>
  <c r="D624" i="8" l="1"/>
  <c r="L624" i="8" s="1"/>
  <c r="B625" i="8"/>
  <c r="N624" i="8"/>
  <c r="Q627" i="8"/>
  <c r="C627" i="8" s="1"/>
  <c r="P628" i="8"/>
  <c r="R627" i="8"/>
  <c r="S627" i="8"/>
  <c r="U627" i="8" s="1"/>
  <c r="V627" i="8"/>
  <c r="D625" i="8" l="1"/>
  <c r="L625" i="8" s="1"/>
  <c r="B626" i="8"/>
  <c r="N625" i="8"/>
  <c r="Q628" i="8"/>
  <c r="C628" i="8" s="1"/>
  <c r="R628" i="8"/>
  <c r="P629" i="8"/>
  <c r="V628" i="8"/>
  <c r="S628" i="8"/>
  <c r="U628" i="8" s="1"/>
  <c r="D626" i="8" l="1"/>
  <c r="L626" i="8" s="1"/>
  <c r="B627" i="8"/>
  <c r="N626" i="8"/>
  <c r="Q629" i="8"/>
  <c r="C629" i="8" s="1"/>
  <c r="R629" i="8"/>
  <c r="V629" i="8"/>
  <c r="P630" i="8"/>
  <c r="S629" i="8"/>
  <c r="U629" i="8" s="1"/>
  <c r="D627" i="8" l="1"/>
  <c r="L627" i="8" s="1"/>
  <c r="N627" i="8"/>
  <c r="B628" i="8"/>
  <c r="Q630" i="8"/>
  <c r="C630" i="8" s="1"/>
  <c r="P631" i="8"/>
  <c r="R630" i="8"/>
  <c r="S630" i="8"/>
  <c r="U630" i="8" s="1"/>
  <c r="V630" i="8"/>
  <c r="D628" i="8" l="1"/>
  <c r="L628" i="8" s="1"/>
  <c r="B629" i="8"/>
  <c r="N628" i="8"/>
  <c r="Q631" i="8"/>
  <c r="C631" i="8" s="1"/>
  <c r="R631" i="8"/>
  <c r="S631" i="8"/>
  <c r="U631" i="8" s="1"/>
  <c r="P632" i="8"/>
  <c r="V631" i="8"/>
  <c r="D629" i="8" l="1"/>
  <c r="L629" i="8" s="1"/>
  <c r="B630" i="8"/>
  <c r="N629" i="8"/>
  <c r="Q632" i="8"/>
  <c r="C632" i="8" s="1"/>
  <c r="P633" i="8"/>
  <c r="V632" i="8"/>
  <c r="R632" i="8"/>
  <c r="S632" i="8"/>
  <c r="U632" i="8" s="1"/>
  <c r="D630" i="8" l="1"/>
  <c r="L630" i="8" s="1"/>
  <c r="N630" i="8"/>
  <c r="B631" i="8"/>
  <c r="Q633" i="8"/>
  <c r="C633" i="8" s="1"/>
  <c r="V633" i="8"/>
  <c r="S633" i="8"/>
  <c r="U633" i="8" s="1"/>
  <c r="P634" i="8"/>
  <c r="R633" i="8"/>
  <c r="D631" i="8" l="1"/>
  <c r="L631" i="8" s="1"/>
  <c r="B632" i="8"/>
  <c r="N631" i="8"/>
  <c r="Q634" i="8"/>
  <c r="C634" i="8" s="1"/>
  <c r="V634" i="8"/>
  <c r="R634" i="8"/>
  <c r="S634" i="8"/>
  <c r="U634" i="8" s="1"/>
  <c r="P635" i="8"/>
  <c r="D632" i="8" l="1"/>
  <c r="L632" i="8" s="1"/>
  <c r="B633" i="8"/>
  <c r="N632" i="8"/>
  <c r="Q635" i="8"/>
  <c r="C635" i="8" s="1"/>
  <c r="P636" i="8"/>
  <c r="V635" i="8"/>
  <c r="R635" i="8"/>
  <c r="S635" i="8"/>
  <c r="U635" i="8" s="1"/>
  <c r="D633" i="8" l="1"/>
  <c r="L633" i="8" s="1"/>
  <c r="N633" i="8"/>
  <c r="B634" i="8"/>
  <c r="Q636" i="8"/>
  <c r="C636" i="8" s="1"/>
  <c r="R636" i="8"/>
  <c r="S636" i="8"/>
  <c r="U636" i="8" s="1"/>
  <c r="V636" i="8"/>
  <c r="P637" i="8"/>
  <c r="D634" i="8" l="1"/>
  <c r="L634" i="8" s="1"/>
  <c r="B635" i="8"/>
  <c r="N634" i="8"/>
  <c r="Q637" i="8"/>
  <c r="C637" i="8" s="1"/>
  <c r="S637" i="8"/>
  <c r="U637" i="8" s="1"/>
  <c r="R637" i="8"/>
  <c r="V637" i="8"/>
  <c r="P638" i="8"/>
  <c r="D635" i="8" l="1"/>
  <c r="L635" i="8" s="1"/>
  <c r="B636" i="8"/>
  <c r="N635" i="8"/>
  <c r="Q638" i="8"/>
  <c r="C638" i="8" s="1"/>
  <c r="V638" i="8"/>
  <c r="P639" i="8"/>
  <c r="R638" i="8"/>
  <c r="S638" i="8"/>
  <c r="U638" i="8" s="1"/>
  <c r="D636" i="8" l="1"/>
  <c r="L636" i="8" s="1"/>
  <c r="B637" i="8"/>
  <c r="N636" i="8"/>
  <c r="Q639" i="8"/>
  <c r="C639" i="8" s="1"/>
  <c r="R639" i="8"/>
  <c r="S639" i="8"/>
  <c r="U639" i="8" s="1"/>
  <c r="P640" i="8"/>
  <c r="V639" i="8"/>
  <c r="D637" i="8" l="1"/>
  <c r="L637" i="8" s="1"/>
  <c r="B638" i="8"/>
  <c r="N637" i="8"/>
  <c r="Q640" i="8"/>
  <c r="C640" i="8" s="1"/>
  <c r="P641" i="8"/>
  <c r="R640" i="8"/>
  <c r="S640" i="8"/>
  <c r="U640" i="8" s="1"/>
  <c r="V640" i="8"/>
  <c r="D638" i="8" l="1"/>
  <c r="L638" i="8" s="1"/>
  <c r="B639" i="8"/>
  <c r="N638" i="8"/>
  <c r="Q641" i="8"/>
  <c r="C641" i="8" s="1"/>
  <c r="P642" i="8"/>
  <c r="V641" i="8"/>
  <c r="R641" i="8"/>
  <c r="S641" i="8"/>
  <c r="U641" i="8" s="1"/>
  <c r="D639" i="8" l="1"/>
  <c r="L639" i="8" s="1"/>
  <c r="N639" i="8"/>
  <c r="B640" i="8"/>
  <c r="Q642" i="8"/>
  <c r="C642" i="8" s="1"/>
  <c r="P643" i="8"/>
  <c r="S642" i="8"/>
  <c r="U642" i="8" s="1"/>
  <c r="V642" i="8"/>
  <c r="R642" i="8"/>
  <c r="D640" i="8" l="1"/>
  <c r="L640" i="8" s="1"/>
  <c r="B641" i="8"/>
  <c r="N640" i="8"/>
  <c r="Q643" i="8"/>
  <c r="C643" i="8" s="1"/>
  <c r="V643" i="8"/>
  <c r="P644" i="8"/>
  <c r="S643" i="8"/>
  <c r="U643" i="8" s="1"/>
  <c r="R643" i="8"/>
  <c r="D641" i="8" l="1"/>
  <c r="L641" i="8" s="1"/>
  <c r="N641" i="8"/>
  <c r="B642" i="8"/>
  <c r="Q644" i="8"/>
  <c r="C644" i="8" s="1"/>
  <c r="R644" i="8"/>
  <c r="P645" i="8"/>
  <c r="S644" i="8"/>
  <c r="U644" i="8" s="1"/>
  <c r="V644" i="8"/>
  <c r="D642" i="8" l="1"/>
  <c r="L642" i="8" s="1"/>
  <c r="N642" i="8"/>
  <c r="B643" i="8"/>
  <c r="Q645" i="8"/>
  <c r="C645" i="8" s="1"/>
  <c r="R645" i="8"/>
  <c r="S645" i="8"/>
  <c r="U645" i="8" s="1"/>
  <c r="P646" i="8"/>
  <c r="V645" i="8"/>
  <c r="D643" i="8" l="1"/>
  <c r="L643" i="8" s="1"/>
  <c r="B644" i="8"/>
  <c r="N643" i="8"/>
  <c r="Q646" i="8"/>
  <c r="C646" i="8" s="1"/>
  <c r="P647" i="8"/>
  <c r="S646" i="8"/>
  <c r="U646" i="8" s="1"/>
  <c r="R646" i="8"/>
  <c r="V646" i="8"/>
  <c r="D644" i="8" l="1"/>
  <c r="L644" i="8" s="1"/>
  <c r="B645" i="8"/>
  <c r="N644" i="8"/>
  <c r="Q647" i="8"/>
  <c r="C647" i="8" s="1"/>
  <c r="P648" i="8"/>
  <c r="R647" i="8"/>
  <c r="V647" i="8"/>
  <c r="S647" i="8"/>
  <c r="U647" i="8" s="1"/>
  <c r="D645" i="8" l="1"/>
  <c r="L645" i="8" s="1"/>
  <c r="B646" i="8"/>
  <c r="N645" i="8"/>
  <c r="Q648" i="8"/>
  <c r="C648" i="8" s="1"/>
  <c r="V648" i="8"/>
  <c r="P649" i="8"/>
  <c r="R648" i="8"/>
  <c r="S648" i="8"/>
  <c r="U648" i="8" s="1"/>
  <c r="D646" i="8" l="1"/>
  <c r="L646" i="8" s="1"/>
  <c r="B647" i="8"/>
  <c r="N646" i="8"/>
  <c r="Q649" i="8"/>
  <c r="C649" i="8" s="1"/>
  <c r="S649" i="8"/>
  <c r="U649" i="8" s="1"/>
  <c r="R649" i="8"/>
  <c r="V649" i="8"/>
  <c r="P650" i="8"/>
  <c r="D647" i="8" l="1"/>
  <c r="L647" i="8" s="1"/>
  <c r="B648" i="8"/>
  <c r="N647" i="8"/>
  <c r="Q650" i="8"/>
  <c r="C650" i="8" s="1"/>
  <c r="V650" i="8"/>
  <c r="P651" i="8"/>
  <c r="R650" i="8"/>
  <c r="S650" i="8"/>
  <c r="U650" i="8" s="1"/>
  <c r="D648" i="8" l="1"/>
  <c r="L648" i="8" s="1"/>
  <c r="B649" i="8"/>
  <c r="N648" i="8"/>
  <c r="Q651" i="8"/>
  <c r="C651" i="8" s="1"/>
  <c r="S651" i="8"/>
  <c r="U651" i="8" s="1"/>
  <c r="P652" i="8"/>
  <c r="R651" i="8"/>
  <c r="V651" i="8"/>
  <c r="D649" i="8" l="1"/>
  <c r="L649" i="8" s="1"/>
  <c r="B650" i="8"/>
  <c r="N649" i="8"/>
  <c r="Q652" i="8"/>
  <c r="C652" i="8" s="1"/>
  <c r="V652" i="8"/>
  <c r="P653" i="8"/>
  <c r="R652" i="8"/>
  <c r="S652" i="8"/>
  <c r="U652" i="8" s="1"/>
  <c r="D650" i="8" l="1"/>
  <c r="L650" i="8" s="1"/>
  <c r="N650" i="8"/>
  <c r="B651" i="8"/>
  <c r="Q653" i="8"/>
  <c r="C653" i="8" s="1"/>
  <c r="P654" i="8"/>
  <c r="R653" i="8"/>
  <c r="S653" i="8"/>
  <c r="U653" i="8" s="1"/>
  <c r="V653" i="8"/>
  <c r="D651" i="8" l="1"/>
  <c r="L651" i="8" s="1"/>
  <c r="N651" i="8"/>
  <c r="B652" i="8"/>
  <c r="Q654" i="8"/>
  <c r="C654" i="8" s="1"/>
  <c r="P655" i="8"/>
  <c r="R654" i="8"/>
  <c r="S654" i="8"/>
  <c r="U654" i="8" s="1"/>
  <c r="V654" i="8"/>
  <c r="D652" i="8" l="1"/>
  <c r="L652" i="8" s="1"/>
  <c r="B653" i="8"/>
  <c r="N652" i="8"/>
  <c r="Q655" i="8"/>
  <c r="C655" i="8" s="1"/>
  <c r="V655" i="8"/>
  <c r="R655" i="8"/>
  <c r="P656" i="8"/>
  <c r="S655" i="8"/>
  <c r="U655" i="8" s="1"/>
  <c r="D653" i="8" l="1"/>
  <c r="L653" i="8" s="1"/>
  <c r="B654" i="8"/>
  <c r="N653" i="8"/>
  <c r="Q656" i="8"/>
  <c r="C656" i="8" s="1"/>
  <c r="P657" i="8"/>
  <c r="S656" i="8"/>
  <c r="U656" i="8" s="1"/>
  <c r="V656" i="8"/>
  <c r="R656" i="8"/>
  <c r="D654" i="8" l="1"/>
  <c r="L654" i="8" s="1"/>
  <c r="B655" i="8"/>
  <c r="N654" i="8"/>
  <c r="Q657" i="8"/>
  <c r="C657" i="8" s="1"/>
  <c r="V657" i="8"/>
  <c r="S657" i="8"/>
  <c r="U657" i="8" s="1"/>
  <c r="R657" i="8"/>
  <c r="P658" i="8"/>
  <c r="D655" i="8" l="1"/>
  <c r="L655" i="8" s="1"/>
  <c r="B656" i="8"/>
  <c r="N655" i="8"/>
  <c r="Q658" i="8"/>
  <c r="C658" i="8" s="1"/>
  <c r="P659" i="8"/>
  <c r="V658" i="8"/>
  <c r="R658" i="8"/>
  <c r="S658" i="8"/>
  <c r="U658" i="8" s="1"/>
  <c r="D656" i="8" l="1"/>
  <c r="L656" i="8" s="1"/>
  <c r="B657" i="8"/>
  <c r="N656" i="8"/>
  <c r="Q659" i="8"/>
  <c r="C659" i="8" s="1"/>
  <c r="P660" i="8"/>
  <c r="V659" i="8"/>
  <c r="S659" i="8"/>
  <c r="U659" i="8" s="1"/>
  <c r="R659" i="8"/>
  <c r="D657" i="8" l="1"/>
  <c r="L657" i="8" s="1"/>
  <c r="B658" i="8"/>
  <c r="N657" i="8"/>
  <c r="Q660" i="8"/>
  <c r="C660" i="8" s="1"/>
  <c r="S660" i="8"/>
  <c r="U660" i="8" s="1"/>
  <c r="V660" i="8"/>
  <c r="R660" i="8"/>
  <c r="P661" i="8"/>
  <c r="D658" i="8" l="1"/>
  <c r="L658" i="8" s="1"/>
  <c r="N658" i="8"/>
  <c r="B659" i="8"/>
  <c r="Q661" i="8"/>
  <c r="C661" i="8" s="1"/>
  <c r="P662" i="8"/>
  <c r="R661" i="8"/>
  <c r="S661" i="8"/>
  <c r="U661" i="8" s="1"/>
  <c r="V661" i="8"/>
  <c r="D659" i="8" l="1"/>
  <c r="L659" i="8" s="1"/>
  <c r="B660" i="8"/>
  <c r="N659" i="8"/>
  <c r="Q662" i="8"/>
  <c r="C662" i="8" s="1"/>
  <c r="P663" i="8"/>
  <c r="S662" i="8"/>
  <c r="U662" i="8" s="1"/>
  <c r="V662" i="8"/>
  <c r="R662" i="8"/>
  <c r="D660" i="8" l="1"/>
  <c r="L660" i="8" s="1"/>
  <c r="N660" i="8"/>
  <c r="B661" i="8"/>
  <c r="Q663" i="8"/>
  <c r="C663" i="8" s="1"/>
  <c r="V663" i="8"/>
  <c r="R663" i="8"/>
  <c r="S663" i="8"/>
  <c r="U663" i="8" s="1"/>
  <c r="P664" i="8"/>
  <c r="D661" i="8" l="1"/>
  <c r="L661" i="8" s="1"/>
  <c r="B662" i="8"/>
  <c r="N661" i="8"/>
  <c r="Q664" i="8"/>
  <c r="C664" i="8" s="1"/>
  <c r="S664" i="8"/>
  <c r="U664" i="8" s="1"/>
  <c r="P665" i="8"/>
  <c r="V664" i="8"/>
  <c r="R664" i="8"/>
  <c r="D662" i="8" l="1"/>
  <c r="L662" i="8" s="1"/>
  <c r="B663" i="8"/>
  <c r="N662" i="8"/>
  <c r="Q665" i="8"/>
  <c r="C665" i="8" s="1"/>
  <c r="V665" i="8"/>
  <c r="P666" i="8"/>
  <c r="R665" i="8"/>
  <c r="S665" i="8"/>
  <c r="U665" i="8" s="1"/>
  <c r="D663" i="8" l="1"/>
  <c r="L663" i="8" s="1"/>
  <c r="B664" i="8"/>
  <c r="N663" i="8"/>
  <c r="Q666" i="8"/>
  <c r="C666" i="8" s="1"/>
  <c r="V666" i="8"/>
  <c r="P667" i="8"/>
  <c r="R666" i="8"/>
  <c r="S666" i="8"/>
  <c r="U666" i="8" s="1"/>
  <c r="D664" i="8" l="1"/>
  <c r="L664" i="8" s="1"/>
  <c r="N664" i="8"/>
  <c r="B665" i="8"/>
  <c r="Q667" i="8"/>
  <c r="C667" i="8" s="1"/>
  <c r="P668" i="8"/>
  <c r="R667" i="8"/>
  <c r="S667" i="8"/>
  <c r="U667" i="8" s="1"/>
  <c r="V667" i="8"/>
  <c r="D665" i="8" l="1"/>
  <c r="L665" i="8" s="1"/>
  <c r="B666" i="8"/>
  <c r="N665" i="8"/>
  <c r="Q668" i="8"/>
  <c r="C668" i="8" s="1"/>
  <c r="S668" i="8"/>
  <c r="U668" i="8" s="1"/>
  <c r="R668" i="8"/>
  <c r="V668" i="8"/>
  <c r="P669" i="8"/>
  <c r="D666" i="8" l="1"/>
  <c r="L666" i="8" s="1"/>
  <c r="B667" i="8"/>
  <c r="N666" i="8"/>
  <c r="Q669" i="8"/>
  <c r="C669" i="8" s="1"/>
  <c r="R669" i="8"/>
  <c r="S669" i="8"/>
  <c r="U669" i="8" s="1"/>
  <c r="V669" i="8"/>
  <c r="P670" i="8"/>
  <c r="D667" i="8" l="1"/>
  <c r="L667" i="8" s="1"/>
  <c r="B668" i="8"/>
  <c r="N667" i="8"/>
  <c r="Q670" i="8"/>
  <c r="C670" i="8" s="1"/>
  <c r="S670" i="8"/>
  <c r="U670" i="8" s="1"/>
  <c r="R670" i="8"/>
  <c r="P671" i="8"/>
  <c r="V670" i="8"/>
  <c r="D668" i="8" l="1"/>
  <c r="L668" i="8" s="1"/>
  <c r="N668" i="8"/>
  <c r="B669" i="8"/>
  <c r="Q671" i="8"/>
  <c r="C671" i="8" s="1"/>
  <c r="V671" i="8"/>
  <c r="R671" i="8"/>
  <c r="P672" i="8"/>
  <c r="S671" i="8"/>
  <c r="U671" i="8" s="1"/>
  <c r="D669" i="8" l="1"/>
  <c r="L669" i="8" s="1"/>
  <c r="B670" i="8"/>
  <c r="N669" i="8"/>
  <c r="Q672" i="8"/>
  <c r="C672" i="8" s="1"/>
  <c r="S672" i="8"/>
  <c r="U672" i="8" s="1"/>
  <c r="V672" i="8"/>
  <c r="R672" i="8"/>
  <c r="P673" i="8"/>
  <c r="D670" i="8" l="1"/>
  <c r="L670" i="8" s="1"/>
  <c r="B671" i="8"/>
  <c r="N670" i="8"/>
  <c r="Q673" i="8"/>
  <c r="C673" i="8" s="1"/>
  <c r="R673" i="8"/>
  <c r="V673" i="8"/>
  <c r="P674" i="8"/>
  <c r="S673" i="8"/>
  <c r="U673" i="8" s="1"/>
  <c r="D671" i="8" l="1"/>
  <c r="L671" i="8" s="1"/>
  <c r="N671" i="8"/>
  <c r="B672" i="8"/>
  <c r="Q674" i="8"/>
  <c r="C674" i="8" s="1"/>
  <c r="P675" i="8"/>
  <c r="R674" i="8"/>
  <c r="V674" i="8"/>
  <c r="S674" i="8"/>
  <c r="U674" i="8" s="1"/>
  <c r="D672" i="8" l="1"/>
  <c r="L672" i="8" s="1"/>
  <c r="N672" i="8"/>
  <c r="B673" i="8"/>
  <c r="Q675" i="8"/>
  <c r="C675" i="8" s="1"/>
  <c r="P676" i="8"/>
  <c r="R675" i="8"/>
  <c r="S675" i="8"/>
  <c r="U675" i="8" s="1"/>
  <c r="V675" i="8"/>
  <c r="D673" i="8" l="1"/>
  <c r="L673" i="8" s="1"/>
  <c r="B674" i="8"/>
  <c r="N673" i="8"/>
  <c r="Q676" i="8"/>
  <c r="C676" i="8" s="1"/>
  <c r="V676" i="8"/>
  <c r="P677" i="8"/>
  <c r="R676" i="8"/>
  <c r="S676" i="8"/>
  <c r="U676" i="8" s="1"/>
  <c r="D674" i="8" l="1"/>
  <c r="L674" i="8" s="1"/>
  <c r="B675" i="8"/>
  <c r="N674" i="8"/>
  <c r="Q677" i="8"/>
  <c r="C677" i="8" s="1"/>
  <c r="R677" i="8"/>
  <c r="V677" i="8"/>
  <c r="P678" i="8"/>
  <c r="S677" i="8"/>
  <c r="U677" i="8" s="1"/>
  <c r="D675" i="8" l="1"/>
  <c r="L675" i="8" s="1"/>
  <c r="N675" i="8"/>
  <c r="B676" i="8"/>
  <c r="Q678" i="8"/>
  <c r="C678" i="8" s="1"/>
  <c r="S678" i="8"/>
  <c r="U678" i="8" s="1"/>
  <c r="P679" i="8"/>
  <c r="R678" i="8"/>
  <c r="V678" i="8"/>
  <c r="D676" i="8" l="1"/>
  <c r="L676" i="8" s="1"/>
  <c r="B677" i="8"/>
  <c r="N676" i="8"/>
  <c r="Q679" i="8"/>
  <c r="C679" i="8" s="1"/>
  <c r="V679" i="8"/>
  <c r="S679" i="8"/>
  <c r="U679" i="8" s="1"/>
  <c r="P680" i="8"/>
  <c r="R679" i="8"/>
  <c r="D677" i="8" l="1"/>
  <c r="L677" i="8" s="1"/>
  <c r="B678" i="8"/>
  <c r="N677" i="8"/>
  <c r="Q680" i="8"/>
  <c r="C680" i="8" s="1"/>
  <c r="P681" i="8"/>
  <c r="S680" i="8"/>
  <c r="U680" i="8" s="1"/>
  <c r="R680" i="8"/>
  <c r="V680" i="8"/>
  <c r="D678" i="8" l="1"/>
  <c r="L678" i="8" s="1"/>
  <c r="N678" i="8"/>
  <c r="B679" i="8"/>
  <c r="Q681" i="8"/>
  <c r="C681" i="8" s="1"/>
  <c r="S681" i="8"/>
  <c r="U681" i="8" s="1"/>
  <c r="P682" i="8"/>
  <c r="V681" i="8"/>
  <c r="R681" i="8"/>
  <c r="D679" i="8" l="1"/>
  <c r="L679" i="8" s="1"/>
  <c r="N679" i="8"/>
  <c r="B680" i="8"/>
  <c r="Q682" i="8"/>
  <c r="C682" i="8" s="1"/>
  <c r="S682" i="8"/>
  <c r="U682" i="8" s="1"/>
  <c r="V682" i="8"/>
  <c r="P683" i="8"/>
  <c r="R682" i="8"/>
  <c r="D680" i="8" l="1"/>
  <c r="L680" i="8" s="1"/>
  <c r="N680" i="8"/>
  <c r="B681" i="8"/>
  <c r="Q683" i="8"/>
  <c r="C683" i="8" s="1"/>
  <c r="V683" i="8"/>
  <c r="R683" i="8"/>
  <c r="P684" i="8"/>
  <c r="S683" i="8"/>
  <c r="U683" i="8" s="1"/>
  <c r="D681" i="8" l="1"/>
  <c r="L681" i="8" s="1"/>
  <c r="B682" i="8"/>
  <c r="N681" i="8"/>
  <c r="Q684" i="8"/>
  <c r="C684" i="8" s="1"/>
  <c r="P685" i="8"/>
  <c r="V684" i="8"/>
  <c r="R684" i="8"/>
  <c r="S684" i="8"/>
  <c r="U684" i="8" s="1"/>
  <c r="D682" i="8" l="1"/>
  <c r="L682" i="8" s="1"/>
  <c r="N682" i="8"/>
  <c r="B683" i="8"/>
  <c r="Q685" i="8"/>
  <c r="C685" i="8" s="1"/>
  <c r="R685" i="8"/>
  <c r="S685" i="8"/>
  <c r="U685" i="8" s="1"/>
  <c r="V685" i="8"/>
  <c r="P686" i="8"/>
  <c r="D683" i="8" l="1"/>
  <c r="L683" i="8" s="1"/>
  <c r="B684" i="8"/>
  <c r="N683" i="8"/>
  <c r="Q686" i="8"/>
  <c r="C686" i="8" s="1"/>
  <c r="P687" i="8"/>
  <c r="R686" i="8"/>
  <c r="S686" i="8"/>
  <c r="U686" i="8" s="1"/>
  <c r="V686" i="8"/>
  <c r="D684" i="8" l="1"/>
  <c r="L684" i="8" s="1"/>
  <c r="N684" i="8"/>
  <c r="B685" i="8"/>
  <c r="Q687" i="8"/>
  <c r="C687" i="8" s="1"/>
  <c r="R687" i="8"/>
  <c r="S687" i="8"/>
  <c r="U687" i="8" s="1"/>
  <c r="V687" i="8"/>
  <c r="P688" i="8"/>
  <c r="D685" i="8" l="1"/>
  <c r="L685" i="8" s="1"/>
  <c r="N685" i="8"/>
  <c r="B686" i="8"/>
  <c r="Q688" i="8"/>
  <c r="C688" i="8" s="1"/>
  <c r="R688" i="8"/>
  <c r="S688" i="8"/>
  <c r="U688" i="8" s="1"/>
  <c r="P689" i="8"/>
  <c r="V688" i="8"/>
  <c r="D686" i="8" l="1"/>
  <c r="L686" i="8" s="1"/>
  <c r="B687" i="8"/>
  <c r="N686" i="8"/>
  <c r="Q689" i="8"/>
  <c r="C689" i="8" s="1"/>
  <c r="R689" i="8"/>
  <c r="V689" i="8"/>
  <c r="S689" i="8"/>
  <c r="U689" i="8" s="1"/>
  <c r="P690" i="8"/>
  <c r="D687" i="8" l="1"/>
  <c r="L687" i="8" s="1"/>
  <c r="B688" i="8"/>
  <c r="N687" i="8"/>
  <c r="Q690" i="8"/>
  <c r="C690" i="8" s="1"/>
  <c r="R690" i="8"/>
  <c r="S690" i="8"/>
  <c r="U690" i="8" s="1"/>
  <c r="V690" i="8"/>
  <c r="P691" i="8"/>
  <c r="D688" i="8" l="1"/>
  <c r="L688" i="8" s="1"/>
  <c r="B689" i="8"/>
  <c r="N688" i="8"/>
  <c r="Q691" i="8"/>
  <c r="C691" i="8" s="1"/>
  <c r="V691" i="8"/>
  <c r="S691" i="8"/>
  <c r="U691" i="8" s="1"/>
  <c r="P692" i="8"/>
  <c r="R691" i="8"/>
  <c r="D689" i="8" l="1"/>
  <c r="L689" i="8" s="1"/>
  <c r="N689" i="8"/>
  <c r="B690" i="8"/>
  <c r="Q692" i="8"/>
  <c r="C692" i="8" s="1"/>
  <c r="V692" i="8"/>
  <c r="P693" i="8"/>
  <c r="S692" i="8"/>
  <c r="U692" i="8" s="1"/>
  <c r="R692" i="8"/>
  <c r="D690" i="8" l="1"/>
  <c r="L690" i="8" s="1"/>
  <c r="B691" i="8"/>
  <c r="N690" i="8"/>
  <c r="Q693" i="8"/>
  <c r="C693" i="8" s="1"/>
  <c r="V693" i="8"/>
  <c r="P694" i="8"/>
  <c r="R693" i="8"/>
  <c r="S693" i="8"/>
  <c r="U693" i="8" s="1"/>
  <c r="D691" i="8" l="1"/>
  <c r="L691" i="8" s="1"/>
  <c r="B692" i="8"/>
  <c r="N691" i="8"/>
  <c r="Q694" i="8"/>
  <c r="C694" i="8" s="1"/>
  <c r="P695" i="8"/>
  <c r="R694" i="8"/>
  <c r="V694" i="8"/>
  <c r="S694" i="8"/>
  <c r="U694" i="8" s="1"/>
  <c r="D692" i="8" l="1"/>
  <c r="L692" i="8" s="1"/>
  <c r="B693" i="8"/>
  <c r="N692" i="8"/>
  <c r="Q695" i="8"/>
  <c r="C695" i="8" s="1"/>
  <c r="V695" i="8"/>
  <c r="R695" i="8"/>
  <c r="P696" i="8"/>
  <c r="S695" i="8"/>
  <c r="U695" i="8" s="1"/>
  <c r="D693" i="8" l="1"/>
  <c r="L693" i="8" s="1"/>
  <c r="B694" i="8"/>
  <c r="N693" i="8"/>
  <c r="Q696" i="8"/>
  <c r="C696" i="8" s="1"/>
  <c r="V696" i="8"/>
  <c r="S696" i="8"/>
  <c r="U696" i="8" s="1"/>
  <c r="P697" i="8"/>
  <c r="R696" i="8"/>
  <c r="D694" i="8" l="1"/>
  <c r="L694" i="8" s="1"/>
  <c r="B695" i="8"/>
  <c r="N694" i="8"/>
  <c r="Q697" i="8"/>
  <c r="C697" i="8" s="1"/>
  <c r="R697" i="8"/>
  <c r="V697" i="8"/>
  <c r="P698" i="8"/>
  <c r="S697" i="8"/>
  <c r="U697" i="8" s="1"/>
  <c r="D695" i="8" l="1"/>
  <c r="L695" i="8" s="1"/>
  <c r="B696" i="8"/>
  <c r="N695" i="8"/>
  <c r="Q698" i="8"/>
  <c r="C698" i="8" s="1"/>
  <c r="R698" i="8"/>
  <c r="V698" i="8"/>
  <c r="P699" i="8"/>
  <c r="S698" i="8"/>
  <c r="U698" i="8" s="1"/>
  <c r="D696" i="8" l="1"/>
  <c r="L696" i="8" s="1"/>
  <c r="B697" i="8"/>
  <c r="N696" i="8"/>
  <c r="Q699" i="8"/>
  <c r="C699" i="8" s="1"/>
  <c r="V699" i="8"/>
  <c r="S699" i="8"/>
  <c r="U699" i="8" s="1"/>
  <c r="R699" i="8"/>
  <c r="P700" i="8"/>
  <c r="D697" i="8" l="1"/>
  <c r="L697" i="8" s="1"/>
  <c r="B698" i="8"/>
  <c r="N697" i="8"/>
  <c r="Q700" i="8"/>
  <c r="C700" i="8" s="1"/>
  <c r="R700" i="8"/>
  <c r="V700" i="8"/>
  <c r="S700" i="8"/>
  <c r="U700" i="8" s="1"/>
  <c r="P701" i="8"/>
  <c r="D698" i="8" l="1"/>
  <c r="L698" i="8" s="1"/>
  <c r="B699" i="8"/>
  <c r="N698" i="8"/>
  <c r="Q701" i="8"/>
  <c r="C701" i="8" s="1"/>
  <c r="P702" i="8"/>
  <c r="S701" i="8"/>
  <c r="U701" i="8" s="1"/>
  <c r="V701" i="8"/>
  <c r="R701" i="8"/>
  <c r="D699" i="8" l="1"/>
  <c r="L699" i="8" s="1"/>
  <c r="B700" i="8"/>
  <c r="N699" i="8"/>
  <c r="Q702" i="8"/>
  <c r="C702" i="8" s="1"/>
  <c r="S702" i="8"/>
  <c r="U702" i="8" s="1"/>
  <c r="V702" i="8"/>
  <c r="R702" i="8"/>
  <c r="P703" i="8"/>
  <c r="D700" i="8" l="1"/>
  <c r="L700" i="8" s="1"/>
  <c r="B701" i="8"/>
  <c r="N700" i="8"/>
  <c r="Q703" i="8"/>
  <c r="C703" i="8" s="1"/>
  <c r="V703" i="8"/>
  <c r="P704" i="8"/>
  <c r="S703" i="8"/>
  <c r="U703" i="8" s="1"/>
  <c r="R703" i="8"/>
  <c r="D701" i="8" l="1"/>
  <c r="L701" i="8" s="1"/>
  <c r="B702" i="8"/>
  <c r="N701" i="8"/>
  <c r="Q704" i="8"/>
  <c r="C704" i="8" s="1"/>
  <c r="P705" i="8"/>
  <c r="R704" i="8"/>
  <c r="V704" i="8"/>
  <c r="S704" i="8"/>
  <c r="U704" i="8" s="1"/>
  <c r="D702" i="8" l="1"/>
  <c r="L702" i="8" s="1"/>
  <c r="N702" i="8"/>
  <c r="B703" i="8"/>
  <c r="Q705" i="8"/>
  <c r="C705" i="8" s="1"/>
  <c r="S705" i="8"/>
  <c r="U705" i="8" s="1"/>
  <c r="P706" i="8"/>
  <c r="R705" i="8"/>
  <c r="V705" i="8"/>
  <c r="D703" i="8" l="1"/>
  <c r="L703" i="8" s="1"/>
  <c r="B704" i="8"/>
  <c r="N703" i="8"/>
  <c r="Q706" i="8"/>
  <c r="C706" i="8" s="1"/>
  <c r="R706" i="8"/>
  <c r="P707" i="8"/>
  <c r="S706" i="8"/>
  <c r="U706" i="8" s="1"/>
  <c r="V706" i="8"/>
  <c r="D704" i="8" l="1"/>
  <c r="L704" i="8" s="1"/>
  <c r="N704" i="8"/>
  <c r="B705" i="8"/>
  <c r="Q707" i="8"/>
  <c r="C707" i="8" s="1"/>
  <c r="S707" i="8"/>
  <c r="U707" i="8" s="1"/>
  <c r="P708" i="8"/>
  <c r="V707" i="8"/>
  <c r="R707" i="8"/>
  <c r="D705" i="8" l="1"/>
  <c r="L705" i="8" s="1"/>
  <c r="B706" i="8"/>
  <c r="N705" i="8"/>
  <c r="Q708" i="8"/>
  <c r="C708" i="8" s="1"/>
  <c r="V708" i="8"/>
  <c r="P709" i="8"/>
  <c r="R708" i="8"/>
  <c r="S708" i="8"/>
  <c r="U708" i="8" s="1"/>
  <c r="D706" i="8" l="1"/>
  <c r="L706" i="8" s="1"/>
  <c r="B707" i="8"/>
  <c r="N706" i="8"/>
  <c r="Q709" i="8"/>
  <c r="C709" i="8" s="1"/>
  <c r="V709" i="8"/>
  <c r="R709" i="8"/>
  <c r="S709" i="8"/>
  <c r="U709" i="8" s="1"/>
  <c r="P710" i="8"/>
  <c r="D707" i="8" l="1"/>
  <c r="L707" i="8" s="1"/>
  <c r="B708" i="8"/>
  <c r="N707" i="8"/>
  <c r="Q710" i="8"/>
  <c r="C710" i="8" s="1"/>
  <c r="S710" i="8"/>
  <c r="U710" i="8" s="1"/>
  <c r="V710" i="8"/>
  <c r="R710" i="8"/>
  <c r="P711" i="8"/>
  <c r="D708" i="8" l="1"/>
  <c r="L708" i="8" s="1"/>
  <c r="B709" i="8"/>
  <c r="N708" i="8"/>
  <c r="Q711" i="8"/>
  <c r="C711" i="8" s="1"/>
  <c r="S711" i="8"/>
  <c r="U711" i="8" s="1"/>
  <c r="P712" i="8"/>
  <c r="R711" i="8"/>
  <c r="V711" i="8"/>
  <c r="D709" i="8" l="1"/>
  <c r="L709" i="8" s="1"/>
  <c r="B710" i="8"/>
  <c r="N709" i="8"/>
  <c r="Q712" i="8"/>
  <c r="C712" i="8" s="1"/>
  <c r="P713" i="8"/>
  <c r="V712" i="8"/>
  <c r="S712" i="8"/>
  <c r="U712" i="8" s="1"/>
  <c r="R712" i="8"/>
  <c r="D710" i="8" l="1"/>
  <c r="L710" i="8" s="1"/>
  <c r="B711" i="8"/>
  <c r="N710" i="8"/>
  <c r="Q713" i="8"/>
  <c r="C713" i="8" s="1"/>
  <c r="V713" i="8"/>
  <c r="S713" i="8"/>
  <c r="U713" i="8" s="1"/>
  <c r="R713" i="8"/>
  <c r="P714" i="8"/>
  <c r="D711" i="8" l="1"/>
  <c r="L711" i="8" s="1"/>
  <c r="B712" i="8"/>
  <c r="N711" i="8"/>
  <c r="Q714" i="8"/>
  <c r="C714" i="8" s="1"/>
  <c r="R714" i="8"/>
  <c r="S714" i="8"/>
  <c r="U714" i="8" s="1"/>
  <c r="V714" i="8"/>
  <c r="P715" i="8"/>
  <c r="D712" i="8" l="1"/>
  <c r="L712" i="8" s="1"/>
  <c r="B713" i="8"/>
  <c r="N712" i="8"/>
  <c r="Q715" i="8"/>
  <c r="C715" i="8" s="1"/>
  <c r="R715" i="8"/>
  <c r="P716" i="8"/>
  <c r="S715" i="8"/>
  <c r="U715" i="8" s="1"/>
  <c r="V715" i="8"/>
  <c r="D713" i="8" l="1"/>
  <c r="L713" i="8" s="1"/>
  <c r="B714" i="8"/>
  <c r="N713" i="8"/>
  <c r="Q716" i="8"/>
  <c r="C716" i="8" s="1"/>
  <c r="S716" i="8"/>
  <c r="U716" i="8" s="1"/>
  <c r="R716" i="8"/>
  <c r="P717" i="8"/>
  <c r="V716" i="8"/>
  <c r="D714" i="8" l="1"/>
  <c r="L714" i="8" s="1"/>
  <c r="B715" i="8"/>
  <c r="N714" i="8"/>
  <c r="Q717" i="8"/>
  <c r="C717" i="8" s="1"/>
  <c r="V717" i="8"/>
  <c r="S717" i="8"/>
  <c r="U717" i="8" s="1"/>
  <c r="P718" i="8"/>
  <c r="R717" i="8"/>
  <c r="D715" i="8" l="1"/>
  <c r="L715" i="8" s="1"/>
  <c r="N715" i="8"/>
  <c r="B716" i="8"/>
  <c r="Q718" i="8"/>
  <c r="C718" i="8" s="1"/>
  <c r="S718" i="8"/>
  <c r="U718" i="8" s="1"/>
  <c r="P719" i="8"/>
  <c r="V718" i="8"/>
  <c r="R718" i="8"/>
  <c r="D716" i="8" l="1"/>
  <c r="L716" i="8" s="1"/>
  <c r="N716" i="8"/>
  <c r="B717" i="8"/>
  <c r="Q719" i="8"/>
  <c r="C719" i="8" s="1"/>
  <c r="P720" i="8"/>
  <c r="R719" i="8"/>
  <c r="V719" i="8"/>
  <c r="S719" i="8"/>
  <c r="U719" i="8" s="1"/>
  <c r="D717" i="8" l="1"/>
  <c r="L717" i="8" s="1"/>
  <c r="N717" i="8"/>
  <c r="B718" i="8"/>
  <c r="Q720" i="8"/>
  <c r="C720" i="8" s="1"/>
  <c r="V720" i="8"/>
  <c r="S720" i="8"/>
  <c r="U720" i="8" s="1"/>
  <c r="P721" i="8"/>
  <c r="R720" i="8"/>
  <c r="D718" i="8" l="1"/>
  <c r="L718" i="8" s="1"/>
  <c r="N718" i="8"/>
  <c r="B719" i="8"/>
  <c r="Q721" i="8"/>
  <c r="C721" i="8" s="1"/>
  <c r="P722" i="8"/>
  <c r="V721" i="8"/>
  <c r="S721" i="8"/>
  <c r="U721" i="8" s="1"/>
  <c r="R721" i="8"/>
  <c r="D719" i="8" l="1"/>
  <c r="L719" i="8" s="1"/>
  <c r="B720" i="8"/>
  <c r="N719" i="8"/>
  <c r="Q722" i="8"/>
  <c r="C722" i="8" s="1"/>
  <c r="P723" i="8"/>
  <c r="V722" i="8"/>
  <c r="R722" i="8"/>
  <c r="S722" i="8"/>
  <c r="U722" i="8" s="1"/>
  <c r="D720" i="8" l="1"/>
  <c r="L720" i="8" s="1"/>
  <c r="N720" i="8"/>
  <c r="B721" i="8"/>
  <c r="Q723" i="8"/>
  <c r="C723" i="8" s="1"/>
  <c r="V723" i="8"/>
  <c r="P724" i="8"/>
  <c r="R723" i="8"/>
  <c r="S723" i="8"/>
  <c r="U723" i="8" s="1"/>
  <c r="D721" i="8" l="1"/>
  <c r="L721" i="8" s="1"/>
  <c r="B722" i="8"/>
  <c r="N721" i="8"/>
  <c r="Q724" i="8"/>
  <c r="C724" i="8" s="1"/>
  <c r="R724" i="8"/>
  <c r="V724" i="8"/>
  <c r="P725" i="8"/>
  <c r="S724" i="8"/>
  <c r="U724" i="8" s="1"/>
  <c r="D722" i="8" l="1"/>
  <c r="L722" i="8" s="1"/>
  <c r="B723" i="8"/>
  <c r="N722" i="8"/>
  <c r="Q725" i="8"/>
  <c r="C725" i="8" s="1"/>
  <c r="R725" i="8"/>
  <c r="V725" i="8"/>
  <c r="P726" i="8"/>
  <c r="S725" i="8"/>
  <c r="U725" i="8" s="1"/>
  <c r="D723" i="8" l="1"/>
  <c r="L723" i="8" s="1"/>
  <c r="B724" i="8"/>
  <c r="N723" i="8"/>
  <c r="Q726" i="8"/>
  <c r="C726" i="8" s="1"/>
  <c r="R726" i="8"/>
  <c r="P727" i="8"/>
  <c r="V726" i="8"/>
  <c r="S726" i="8"/>
  <c r="U726" i="8" s="1"/>
  <c r="D724" i="8" l="1"/>
  <c r="L724" i="8" s="1"/>
  <c r="B725" i="8"/>
  <c r="N724" i="8"/>
  <c r="Q727" i="8"/>
  <c r="C727" i="8" s="1"/>
  <c r="V727" i="8"/>
  <c r="S727" i="8"/>
  <c r="U727" i="8" s="1"/>
  <c r="P728" i="8"/>
  <c r="R727" i="8"/>
  <c r="D725" i="8" l="1"/>
  <c r="L725" i="8" s="1"/>
  <c r="B726" i="8"/>
  <c r="N725" i="8"/>
  <c r="Q728" i="8"/>
  <c r="C728" i="8" s="1"/>
  <c r="R728" i="8"/>
  <c r="P729" i="8"/>
  <c r="S728" i="8"/>
  <c r="U728" i="8" s="1"/>
  <c r="V728" i="8"/>
  <c r="D726" i="8" l="1"/>
  <c r="L726" i="8" s="1"/>
  <c r="B727" i="8"/>
  <c r="N726" i="8"/>
  <c r="Q729" i="8"/>
  <c r="C729" i="8" s="1"/>
  <c r="P730" i="8"/>
  <c r="V729" i="8"/>
  <c r="R729" i="8"/>
  <c r="S729" i="8"/>
  <c r="U729" i="8" s="1"/>
  <c r="D727" i="8" l="1"/>
  <c r="L727" i="8" s="1"/>
  <c r="B728" i="8"/>
  <c r="N727" i="8"/>
  <c r="Q730" i="8"/>
  <c r="C730" i="8" s="1"/>
  <c r="R730" i="8"/>
  <c r="V730" i="8"/>
  <c r="S730" i="8"/>
  <c r="U730" i="8" s="1"/>
  <c r="P731" i="8"/>
  <c r="D728" i="8" l="1"/>
  <c r="L728" i="8" s="1"/>
  <c r="B729" i="8"/>
  <c r="N728" i="8"/>
  <c r="Q731" i="8"/>
  <c r="C731" i="8" s="1"/>
  <c r="P732" i="8"/>
  <c r="R731" i="8"/>
  <c r="S731" i="8"/>
  <c r="U731" i="8" s="1"/>
  <c r="V731" i="8"/>
  <c r="D729" i="8" l="1"/>
  <c r="L729" i="8" s="1"/>
  <c r="N729" i="8"/>
  <c r="B730" i="8"/>
  <c r="Q732" i="8"/>
  <c r="C732" i="8" s="1"/>
  <c r="V732" i="8"/>
  <c r="R732" i="8"/>
  <c r="P733" i="8"/>
  <c r="S732" i="8"/>
  <c r="U732" i="8" s="1"/>
  <c r="D730" i="8" l="1"/>
  <c r="L730" i="8" s="1"/>
  <c r="B731" i="8"/>
  <c r="N730" i="8"/>
  <c r="Q733" i="8"/>
  <c r="C733" i="8" s="1"/>
  <c r="R733" i="8"/>
  <c r="V733" i="8"/>
  <c r="S733" i="8"/>
  <c r="U733" i="8" s="1"/>
  <c r="P734" i="8"/>
  <c r="D731" i="8" l="1"/>
  <c r="L731" i="8" s="1"/>
  <c r="B732" i="8"/>
  <c r="N731" i="8"/>
  <c r="Q734" i="8"/>
  <c r="C734" i="8" s="1"/>
  <c r="R734" i="8"/>
  <c r="S734" i="8"/>
  <c r="U734" i="8" s="1"/>
  <c r="V734" i="8"/>
  <c r="P735" i="8"/>
  <c r="D732" i="8" l="1"/>
  <c r="L732" i="8" s="1"/>
  <c r="B733" i="8"/>
  <c r="N732" i="8"/>
  <c r="Q735" i="8"/>
  <c r="C735" i="8" s="1"/>
  <c r="P736" i="8"/>
  <c r="R735" i="8"/>
  <c r="S735" i="8"/>
  <c r="U735" i="8" s="1"/>
  <c r="V735" i="8"/>
  <c r="D733" i="8" l="1"/>
  <c r="L733" i="8" s="1"/>
  <c r="B734" i="8"/>
  <c r="N733" i="8"/>
  <c r="Q736" i="8"/>
  <c r="C736" i="8" s="1"/>
  <c r="V736" i="8"/>
  <c r="S736" i="8"/>
  <c r="U736" i="8" s="1"/>
  <c r="R736" i="8"/>
  <c r="P737" i="8"/>
  <c r="D734" i="8" l="1"/>
  <c r="L734" i="8" s="1"/>
  <c r="B735" i="8"/>
  <c r="N734" i="8"/>
  <c r="Q737" i="8"/>
  <c r="C737" i="8" s="1"/>
  <c r="P738" i="8"/>
  <c r="S737" i="8"/>
  <c r="U737" i="8" s="1"/>
  <c r="V737" i="8"/>
  <c r="R737" i="8"/>
  <c r="D735" i="8" l="1"/>
  <c r="L735" i="8" s="1"/>
  <c r="B736" i="8"/>
  <c r="N735" i="8"/>
  <c r="Q738" i="8"/>
  <c r="C738" i="8" s="1"/>
  <c r="S738" i="8"/>
  <c r="U738" i="8" s="1"/>
  <c r="V738" i="8"/>
  <c r="R738" i="8"/>
  <c r="P739" i="8"/>
  <c r="D736" i="8" l="1"/>
  <c r="L736" i="8" s="1"/>
  <c r="B737" i="8"/>
  <c r="N736" i="8"/>
  <c r="Q739" i="8"/>
  <c r="C739" i="8" s="1"/>
  <c r="R739" i="8"/>
  <c r="P740" i="8"/>
  <c r="S739" i="8"/>
  <c r="U739" i="8" s="1"/>
  <c r="V739" i="8"/>
  <c r="D737" i="8" l="1"/>
  <c r="L737" i="8" s="1"/>
  <c r="B738" i="8"/>
  <c r="N737" i="8"/>
  <c r="Q740" i="8"/>
  <c r="C740" i="8" s="1"/>
  <c r="P741" i="8"/>
  <c r="R740" i="8"/>
  <c r="S740" i="8"/>
  <c r="U740" i="8" s="1"/>
  <c r="V740" i="8"/>
  <c r="D738" i="8" l="1"/>
  <c r="L738" i="8" s="1"/>
  <c r="B739" i="8"/>
  <c r="N738" i="8"/>
  <c r="Q741" i="8"/>
  <c r="C741" i="8" s="1"/>
  <c r="S741" i="8"/>
  <c r="U741" i="8" s="1"/>
  <c r="P742" i="8"/>
  <c r="R741" i="8"/>
  <c r="V741" i="8"/>
  <c r="D739" i="8" l="1"/>
  <c r="L739" i="8" s="1"/>
  <c r="B740" i="8"/>
  <c r="N739" i="8"/>
  <c r="Q742" i="8"/>
  <c r="C742" i="8" s="1"/>
  <c r="V742" i="8"/>
  <c r="S742" i="8"/>
  <c r="U742" i="8" s="1"/>
  <c r="P743" i="8"/>
  <c r="R742" i="8"/>
  <c r="D740" i="8" l="1"/>
  <c r="L740" i="8" s="1"/>
  <c r="N740" i="8"/>
  <c r="B741" i="8"/>
  <c r="Q743" i="8"/>
  <c r="C743" i="8" s="1"/>
  <c r="P744" i="8"/>
  <c r="S743" i="8"/>
  <c r="U743" i="8" s="1"/>
  <c r="V743" i="8"/>
  <c r="R743" i="8"/>
  <c r="D741" i="8" l="1"/>
  <c r="L741" i="8" s="1"/>
  <c r="B742" i="8"/>
  <c r="N741" i="8"/>
  <c r="Q744" i="8"/>
  <c r="C744" i="8" s="1"/>
  <c r="V744" i="8"/>
  <c r="S744" i="8"/>
  <c r="U744" i="8" s="1"/>
  <c r="P745" i="8"/>
  <c r="R744" i="8"/>
  <c r="D742" i="8" l="1"/>
  <c r="L742" i="8" s="1"/>
  <c r="B743" i="8"/>
  <c r="N742" i="8"/>
  <c r="Q745" i="8"/>
  <c r="C745" i="8" s="1"/>
  <c r="R745" i="8"/>
  <c r="V745" i="8"/>
  <c r="S745" i="8"/>
  <c r="U745" i="8" s="1"/>
  <c r="P746" i="8"/>
  <c r="D743" i="8" l="1"/>
  <c r="L743" i="8" s="1"/>
  <c r="N743" i="8"/>
  <c r="B744" i="8"/>
  <c r="Q746" i="8"/>
  <c r="C746" i="8" s="1"/>
  <c r="V746" i="8"/>
  <c r="R746" i="8"/>
  <c r="S746" i="8"/>
  <c r="U746" i="8" s="1"/>
  <c r="P747" i="8"/>
  <c r="D744" i="8" l="1"/>
  <c r="L744" i="8" s="1"/>
  <c r="N744" i="8"/>
  <c r="B745" i="8"/>
  <c r="Q747" i="8"/>
  <c r="C747" i="8" s="1"/>
  <c r="P748" i="8"/>
  <c r="S747" i="8"/>
  <c r="U747" i="8" s="1"/>
  <c r="R747" i="8"/>
  <c r="V747" i="8"/>
  <c r="D745" i="8" l="1"/>
  <c r="L745" i="8" s="1"/>
  <c r="B746" i="8"/>
  <c r="N745" i="8"/>
  <c r="Q748" i="8"/>
  <c r="C748" i="8" s="1"/>
  <c r="S748" i="8"/>
  <c r="U748" i="8" s="1"/>
  <c r="V748" i="8"/>
  <c r="R748" i="8"/>
  <c r="P749" i="8"/>
  <c r="D746" i="8" l="1"/>
  <c r="L746" i="8" s="1"/>
  <c r="B747" i="8"/>
  <c r="N746" i="8"/>
  <c r="Q749" i="8"/>
  <c r="C749" i="8" s="1"/>
  <c r="R749" i="8"/>
  <c r="P750" i="8"/>
  <c r="S749" i="8"/>
  <c r="U749" i="8" s="1"/>
  <c r="V749" i="8"/>
  <c r="D747" i="8" l="1"/>
  <c r="L747" i="8" s="1"/>
  <c r="B748" i="8"/>
  <c r="N747" i="8"/>
  <c r="Q750" i="8"/>
  <c r="C750" i="8" s="1"/>
  <c r="R750" i="8"/>
  <c r="V750" i="8"/>
  <c r="P751" i="8"/>
  <c r="S750" i="8"/>
  <c r="U750" i="8" s="1"/>
  <c r="D748" i="8" l="1"/>
  <c r="L748" i="8" s="1"/>
  <c r="B749" i="8"/>
  <c r="N748" i="8"/>
  <c r="Q751" i="8"/>
  <c r="C751" i="8" s="1"/>
  <c r="P752" i="8"/>
  <c r="S751" i="8"/>
  <c r="U751" i="8" s="1"/>
  <c r="V751" i="8"/>
  <c r="R751" i="8"/>
  <c r="D749" i="8" l="1"/>
  <c r="L749" i="8" s="1"/>
  <c r="B750" i="8"/>
  <c r="N749" i="8"/>
  <c r="Q752" i="8"/>
  <c r="C752" i="8" s="1"/>
  <c r="V752" i="8"/>
  <c r="R752" i="8"/>
  <c r="P753" i="8"/>
  <c r="S752" i="8"/>
  <c r="U752" i="8" s="1"/>
  <c r="D750" i="8" l="1"/>
  <c r="L750" i="8" s="1"/>
  <c r="B751" i="8"/>
  <c r="N750" i="8"/>
  <c r="Q753" i="8"/>
  <c r="C753" i="8" s="1"/>
  <c r="S753" i="8"/>
  <c r="U753" i="8" s="1"/>
  <c r="V753" i="8"/>
  <c r="P754" i="8"/>
  <c r="R753" i="8"/>
  <c r="D751" i="8" l="1"/>
  <c r="L751" i="8" s="1"/>
  <c r="B752" i="8"/>
  <c r="N751" i="8"/>
  <c r="Q754" i="8"/>
  <c r="C754" i="8" s="1"/>
  <c r="V754" i="8"/>
  <c r="P755" i="8"/>
  <c r="S754" i="8"/>
  <c r="U754" i="8" s="1"/>
  <c r="R754" i="8"/>
  <c r="D752" i="8" l="1"/>
  <c r="L752" i="8" s="1"/>
  <c r="N752" i="8"/>
  <c r="B753" i="8"/>
  <c r="Q755" i="8"/>
  <c r="C755" i="8" s="1"/>
  <c r="R755" i="8"/>
  <c r="V755" i="8"/>
  <c r="S755" i="8"/>
  <c r="U755" i="8" s="1"/>
  <c r="P756" i="8"/>
  <c r="D753" i="8" l="1"/>
  <c r="L753" i="8" s="1"/>
  <c r="B754" i="8"/>
  <c r="N753" i="8"/>
  <c r="Q756" i="8"/>
  <c r="C756" i="8" s="1"/>
  <c r="V756" i="8"/>
  <c r="S756" i="8"/>
  <c r="U756" i="8" s="1"/>
  <c r="P757" i="8"/>
  <c r="R756" i="8"/>
  <c r="D754" i="8" l="1"/>
  <c r="L754" i="8" s="1"/>
  <c r="B755" i="8"/>
  <c r="N754" i="8"/>
  <c r="Q757" i="8"/>
  <c r="C757" i="8" s="1"/>
  <c r="R757" i="8"/>
  <c r="V757" i="8"/>
  <c r="P758" i="8"/>
  <c r="S757" i="8"/>
  <c r="U757" i="8" s="1"/>
  <c r="D755" i="8" l="1"/>
  <c r="L755" i="8" s="1"/>
  <c r="N755" i="8"/>
  <c r="B756" i="8"/>
  <c r="Q758" i="8"/>
  <c r="C758" i="8" s="1"/>
  <c r="V758" i="8"/>
  <c r="R758" i="8"/>
  <c r="P759" i="8"/>
  <c r="S758" i="8"/>
  <c r="U758" i="8" s="1"/>
  <c r="D756" i="8" l="1"/>
  <c r="L756" i="8" s="1"/>
  <c r="N756" i="8"/>
  <c r="B757" i="8"/>
  <c r="Q759" i="8"/>
  <c r="C759" i="8" s="1"/>
  <c r="V759" i="8"/>
  <c r="P760" i="8"/>
  <c r="R759" i="8"/>
  <c r="S759" i="8"/>
  <c r="U759" i="8" s="1"/>
  <c r="D757" i="8" l="1"/>
  <c r="L757" i="8" s="1"/>
  <c r="B758" i="8"/>
  <c r="N757" i="8"/>
  <c r="Q760" i="8"/>
  <c r="C760" i="8" s="1"/>
  <c r="S760" i="8"/>
  <c r="U760" i="8" s="1"/>
  <c r="P761" i="8"/>
  <c r="R760" i="8"/>
  <c r="V760" i="8"/>
  <c r="D758" i="8" l="1"/>
  <c r="L758" i="8" s="1"/>
  <c r="N758" i="8"/>
  <c r="B759" i="8"/>
  <c r="Q761" i="8"/>
  <c r="C761" i="8" s="1"/>
  <c r="S761" i="8"/>
  <c r="U761" i="8" s="1"/>
  <c r="R761" i="8"/>
  <c r="V761" i="8"/>
  <c r="P762" i="8"/>
  <c r="D759" i="8" l="1"/>
  <c r="L759" i="8" s="1"/>
  <c r="B760" i="8"/>
  <c r="N759" i="8"/>
  <c r="Q762" i="8"/>
  <c r="C762" i="8" s="1"/>
  <c r="S762" i="8"/>
  <c r="U762" i="8" s="1"/>
  <c r="P763" i="8"/>
  <c r="R762" i="8"/>
  <c r="V762" i="8"/>
  <c r="D760" i="8" l="1"/>
  <c r="L760" i="8" s="1"/>
  <c r="N760" i="8"/>
  <c r="B761" i="8"/>
  <c r="Q763" i="8"/>
  <c r="C763" i="8" s="1"/>
  <c r="V763" i="8"/>
  <c r="S763" i="8"/>
  <c r="U763" i="8" s="1"/>
  <c r="R763" i="8"/>
  <c r="P764" i="8"/>
  <c r="D761" i="8" l="1"/>
  <c r="L761" i="8" s="1"/>
  <c r="B762" i="8"/>
  <c r="N761" i="8"/>
  <c r="Q764" i="8"/>
  <c r="C764" i="8" s="1"/>
  <c r="R764" i="8"/>
  <c r="S764" i="8"/>
  <c r="U764" i="8" s="1"/>
  <c r="P765" i="8"/>
  <c r="V764" i="8"/>
  <c r="D762" i="8" l="1"/>
  <c r="L762" i="8" s="1"/>
  <c r="B763" i="8"/>
  <c r="N762" i="8"/>
  <c r="Q765" i="8"/>
  <c r="C765" i="8" s="1"/>
  <c r="V765" i="8"/>
  <c r="P766" i="8"/>
  <c r="R765" i="8"/>
  <c r="S765" i="8"/>
  <c r="U765" i="8" s="1"/>
  <c r="D763" i="8" l="1"/>
  <c r="L763" i="8" s="1"/>
  <c r="N763" i="8"/>
  <c r="B764" i="8"/>
  <c r="Q766" i="8"/>
  <c r="C766" i="8" s="1"/>
  <c r="R766" i="8"/>
  <c r="V766" i="8"/>
  <c r="P767" i="8"/>
  <c r="S766" i="8"/>
  <c r="U766" i="8" s="1"/>
  <c r="D764" i="8" l="1"/>
  <c r="L764" i="8" s="1"/>
  <c r="B765" i="8"/>
  <c r="N764" i="8"/>
  <c r="Q767" i="8"/>
  <c r="C767" i="8" s="1"/>
  <c r="R767" i="8"/>
  <c r="V767" i="8"/>
  <c r="P768" i="8"/>
  <c r="S767" i="8"/>
  <c r="U767" i="8" s="1"/>
  <c r="D765" i="8" l="1"/>
  <c r="L765" i="8" s="1"/>
  <c r="N765" i="8"/>
  <c r="B766" i="8"/>
  <c r="Q768" i="8"/>
  <c r="C768" i="8" s="1"/>
  <c r="P769" i="8"/>
  <c r="R768" i="8"/>
  <c r="S768" i="8"/>
  <c r="U768" i="8" s="1"/>
  <c r="V768" i="8"/>
  <c r="D766" i="8" l="1"/>
  <c r="L766" i="8" s="1"/>
  <c r="B767" i="8"/>
  <c r="N766" i="8"/>
  <c r="S769" i="8"/>
  <c r="U769" i="8" s="1"/>
  <c r="Q769" i="8"/>
  <c r="C769" i="8" s="1"/>
  <c r="V769" i="8"/>
  <c r="R769" i="8"/>
  <c r="D767" i="8" l="1"/>
  <c r="L767" i="8" s="1"/>
  <c r="B768" i="8"/>
  <c r="N767" i="8"/>
  <c r="D768" i="8" l="1"/>
  <c r="L768" i="8" s="1"/>
  <c r="N768" i="8"/>
  <c r="B769" i="8"/>
  <c r="D769" i="8" l="1"/>
  <c r="L769" i="8" s="1"/>
  <c r="N769" i="8"/>
  <c r="I5" i="23" l="1"/>
  <c r="E5" i="23" l="1"/>
  <c r="I37" i="23"/>
  <c r="D52" i="23" l="1"/>
  <c r="C51" i="23"/>
  <c r="E37" i="23"/>
  <c r="F5" i="23"/>
  <c r="F37" i="23" s="1"/>
  <c r="I18" i="26" l="1"/>
  <c r="I19" i="26"/>
  <c r="I20" i="26"/>
  <c r="I36" i="26" l="1"/>
  <c r="I40" i="26" s="1"/>
  <c r="H18" i="26"/>
  <c r="H19" i="26"/>
  <c r="H20" i="26"/>
  <c r="H36" i="26" l="1"/>
  <c r="H40" i="26" s="1"/>
  <c r="E5" i="30" l="1"/>
  <c r="AI5" i="30" l="1"/>
  <c r="H5" i="30"/>
  <c r="G5" i="30"/>
  <c r="G14" i="30" l="1"/>
  <c r="G12" i="30"/>
  <c r="G13" i="30"/>
  <c r="AJ5" i="30"/>
  <c r="H12" i="30"/>
  <c r="H13" i="30"/>
  <c r="H14" i="30"/>
  <c r="AI14" i="30"/>
  <c r="AI13" i="30"/>
  <c r="AI12" i="30"/>
  <c r="AJ14" i="30" l="1"/>
  <c r="AJ13" i="30"/>
  <c r="AJ12" i="30"/>
  <c r="I5" i="30"/>
  <c r="AK5" i="30" l="1"/>
  <c r="I12" i="30"/>
  <c r="I13" i="30"/>
  <c r="I14" i="30"/>
  <c r="AK14" i="30" l="1"/>
  <c r="AK13" i="30"/>
  <c r="AK12" i="30"/>
  <c r="J5" i="30"/>
  <c r="AL5" i="30" l="1"/>
  <c r="J12" i="30"/>
  <c r="J14" i="30"/>
  <c r="J13" i="30"/>
  <c r="AL14" i="30" l="1"/>
  <c r="AL12" i="30"/>
  <c r="AL13" i="30"/>
  <c r="K5" i="30"/>
  <c r="AM5" i="30" l="1"/>
  <c r="K13" i="30"/>
  <c r="K14" i="30"/>
  <c r="K12" i="30"/>
  <c r="AM14" i="30" l="1"/>
  <c r="AM13" i="30"/>
  <c r="AM12" i="30"/>
  <c r="L5" i="30"/>
  <c r="AN5" i="30" l="1"/>
  <c r="L14" i="30"/>
  <c r="L13" i="30"/>
  <c r="L12" i="30"/>
  <c r="AN14" i="30" l="1"/>
  <c r="AN13" i="30"/>
  <c r="AN12" i="30"/>
  <c r="M5" i="30"/>
  <c r="AO5" i="30" l="1"/>
  <c r="M12" i="30"/>
  <c r="M14" i="30"/>
  <c r="M13" i="30"/>
  <c r="AO14" i="30" l="1"/>
  <c r="AO13" i="30"/>
  <c r="AO12" i="30"/>
  <c r="N5" i="30"/>
  <c r="AP5" i="30" l="1"/>
  <c r="N12" i="30"/>
  <c r="N13" i="30"/>
  <c r="N14" i="30"/>
  <c r="AP14" i="30" l="1"/>
  <c r="AP13" i="30"/>
  <c r="AP12" i="30"/>
  <c r="O5" i="30"/>
  <c r="AQ5" i="30" l="1"/>
  <c r="O13" i="30"/>
  <c r="O14" i="30"/>
  <c r="O12" i="30"/>
  <c r="AQ14" i="30" l="1"/>
  <c r="AQ13" i="30"/>
  <c r="AQ12" i="30"/>
  <c r="P5" i="30"/>
  <c r="AR5" i="30" l="1"/>
  <c r="P14" i="30"/>
  <c r="P13" i="30"/>
  <c r="P12" i="30"/>
  <c r="AR14" i="30" l="1"/>
  <c r="AR13" i="30"/>
  <c r="AR12" i="30"/>
  <c r="Q5" i="30"/>
  <c r="AS5" i="30" l="1"/>
  <c r="Q12" i="30"/>
  <c r="Q14" i="30"/>
  <c r="Q13" i="30"/>
  <c r="AS14" i="30" l="1"/>
  <c r="AS13" i="30"/>
  <c r="AS12" i="30"/>
  <c r="R5" i="30"/>
  <c r="AT5" i="30" l="1"/>
  <c r="R14" i="30"/>
  <c r="R13" i="30"/>
  <c r="R12" i="30"/>
  <c r="AT14" i="30" l="1"/>
  <c r="AT12" i="30"/>
  <c r="AT13" i="30"/>
  <c r="S5" i="30"/>
  <c r="AU5" i="30" l="1"/>
  <c r="S14" i="30"/>
  <c r="S12" i="30"/>
  <c r="S13" i="30"/>
  <c r="AU14" i="30" l="1"/>
  <c r="AU13" i="30"/>
  <c r="AU12" i="30"/>
  <c r="T5" i="30"/>
  <c r="AV5" i="30" s="1"/>
  <c r="AV14" i="30" l="1"/>
  <c r="AV12" i="30"/>
  <c r="AV13" i="30"/>
  <c r="U5" i="30"/>
  <c r="AW5" i="30" l="1"/>
  <c r="U12" i="30"/>
  <c r="U14" i="30"/>
  <c r="U13" i="30"/>
  <c r="AW14" i="30" l="1"/>
  <c r="AW13" i="30"/>
  <c r="AW12" i="30"/>
  <c r="V5" i="30"/>
  <c r="AX5" i="30" l="1"/>
  <c r="V12" i="30"/>
  <c r="V14" i="30"/>
  <c r="V13" i="30"/>
  <c r="AX14" i="30" l="1"/>
  <c r="AX12" i="30"/>
  <c r="AX13" i="30"/>
  <c r="W5" i="30"/>
  <c r="AY5" i="30" l="1"/>
  <c r="W13" i="30"/>
  <c r="W14" i="30"/>
  <c r="W12" i="30"/>
  <c r="AY14" i="30" l="1"/>
  <c r="AY13" i="30"/>
  <c r="AY12" i="30"/>
  <c r="X5" i="30"/>
  <c r="AZ5" i="30" l="1"/>
  <c r="X13" i="30"/>
  <c r="X14" i="30"/>
  <c r="X12" i="30"/>
  <c r="AZ14" i="30" l="1"/>
  <c r="AZ13" i="30"/>
  <c r="AZ12" i="30"/>
  <c r="Y5" i="30"/>
  <c r="Y14" i="30" l="1"/>
  <c r="Y13" i="30"/>
  <c r="Y12" i="30"/>
  <c r="BA5" i="30"/>
  <c r="BA14" i="30" l="1"/>
  <c r="BA13" i="30"/>
  <c r="BA12" i="30"/>
  <c r="Z5" i="30"/>
  <c r="Z14" i="30" l="1"/>
  <c r="Z12" i="30"/>
  <c r="Z13" i="30"/>
  <c r="BB5" i="30"/>
  <c r="BB14" i="30" l="1"/>
  <c r="BB13" i="30"/>
  <c r="BB12" i="30"/>
  <c r="AA5" i="30"/>
  <c r="AA14" i="30" l="1"/>
  <c r="AA12" i="30"/>
  <c r="AA13" i="30"/>
  <c r="BC5" i="30"/>
  <c r="BC14" i="30" l="1"/>
  <c r="BC13" i="30"/>
  <c r="BC12" i="30"/>
  <c r="AB5" i="30"/>
  <c r="AB14" i="30" l="1"/>
  <c r="AB12" i="30"/>
  <c r="AB13" i="30"/>
  <c r="BD5" i="30"/>
  <c r="BD14" i="30" l="1"/>
  <c r="BE5" i="30"/>
  <c r="BD13" i="30"/>
  <c r="BD12" i="30"/>
  <c r="AC5" i="30"/>
  <c r="AC14" i="30" l="1"/>
  <c r="AC12" i="30"/>
  <c r="AC13" i="30"/>
  <c r="BF5" i="30"/>
  <c r="AD5" i="30"/>
  <c r="AD14" i="30" l="1"/>
  <c r="AD13" i="30"/>
  <c r="AD12" i="30"/>
  <c r="BG5" i="30"/>
  <c r="AE5" i="30"/>
  <c r="AE14" i="30" l="1"/>
  <c r="AE13" i="30"/>
  <c r="AE12" i="30"/>
  <c r="BH5" i="30"/>
  <c r="BI5" i="30" s="1"/>
  <c r="BJ5" i="30" s="1"/>
  <c r="BK5" i="30" s="1"/>
  <c r="BL5" i="30" s="1"/>
  <c r="BM5" i="30" s="1"/>
  <c r="BN5" i="30" s="1"/>
  <c r="BO5" i="30" s="1"/>
  <c r="BP5" i="30" s="1"/>
  <c r="BQ5" i="30" s="1"/>
  <c r="BR5" i="30" s="1"/>
  <c r="BS5" i="30" s="1"/>
  <c r="BT5" i="30" s="1"/>
  <c r="BU5" i="30" s="1"/>
  <c r="AF5" i="30"/>
  <c r="AF14" i="30" l="1"/>
  <c r="AF12" i="30"/>
  <c r="AF1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Pembrook</author>
    <author>Brenda Wright</author>
  </authors>
  <commentList>
    <comment ref="A3" authorId="0" shapeId="0" xr:uid="{00000000-0006-0000-0000-000001000000}">
      <text>
        <r>
          <rPr>
            <b/>
            <sz val="9"/>
            <color indexed="81"/>
            <rFont val="Tahoma"/>
            <family val="2"/>
          </rPr>
          <t>Enter Description for Lease (could be number identifier or other)</t>
        </r>
      </text>
    </comment>
    <comment ref="F3" authorId="0" shapeId="0" xr:uid="{00000000-0006-0000-0000-000002000000}">
      <text>
        <r>
          <rPr>
            <b/>
            <sz val="9"/>
            <color indexed="81"/>
            <rFont val="Tahoma"/>
            <family val="2"/>
          </rPr>
          <t>To determine whether a contract conveys control of the right to use the underlying asset, a government should assess whether it has both of the following:
a. The right to obtain the present service capacity from use of the underlying asset as specified in the contract
b. The right to determine the nature and manner of use of the underlying asset as specified in the contract.
Consider a review of the lease implementation guide Q&amp;A's.  Note: Control does not have to be uninterrupted and while the agreement may have conditions on use that does not limit your entities control of service capacity of the agreement.</t>
        </r>
        <r>
          <rPr>
            <sz val="9"/>
            <color indexed="81"/>
            <rFont val="Tahoma"/>
            <family val="2"/>
          </rPr>
          <t xml:space="preserve">
</t>
        </r>
      </text>
    </comment>
    <comment ref="G3" authorId="0" shapeId="0" xr:uid="{00000000-0006-0000-0000-000003000000}">
      <text>
        <r>
          <rPr>
            <b/>
            <sz val="9"/>
            <color indexed="81"/>
            <rFont val="Tahoma"/>
            <family val="2"/>
          </rPr>
          <t>Consideration of max term includes any options to extend whether they are deemed reasonably certain to exercise or not. 
Note: If any option exist that would extend the term beyond 12 months the agreement cannot be considered short term.</t>
        </r>
      </text>
    </comment>
    <comment ref="H3" authorId="0" shapeId="0" xr:uid="{00000000-0006-0000-0000-000004000000}">
      <text>
        <r>
          <rPr>
            <b/>
            <sz val="9"/>
            <color indexed="81"/>
            <rFont val="Tahoma"/>
            <family val="2"/>
          </rPr>
          <t>Consideration of max term includes any options to extend whether they are deemed reasonably certain to exercise or not. 
Note: If any option exist that would extend the term beyond 12 months the agreement cannot be considered short term.</t>
        </r>
      </text>
    </comment>
    <comment ref="I3" authorId="0" shapeId="0" xr:uid="{00000000-0006-0000-0000-000005000000}">
      <text>
        <r>
          <rPr>
            <sz val="9"/>
            <color indexed="81"/>
            <rFont val="Tahoma"/>
            <family val="2"/>
          </rPr>
          <t xml:space="preserve">the values exchanged, though related, may not be quite equal or in which the direct benefits may not be exclusively for the parties to the transaction. Nevertheless, the exchange characteristics of the transaction are strong enough to justify treating the transaction as an exchange for accounting recognition.
Is the payments made by the lessor equal to the value being received or close. 
</t>
        </r>
      </text>
    </comment>
    <comment ref="J3" authorId="1" shapeId="0" xr:uid="{00000000-0006-0000-0000-000006000000}">
      <text>
        <r>
          <rPr>
            <b/>
            <sz val="9"/>
            <color indexed="81"/>
            <rFont val="Tahoma"/>
            <family val="2"/>
          </rPr>
          <t>For consideration of terminations options; non-appropriation or fiscal funding clauses are not considered termination options unless reasonable certain to exercise</t>
        </r>
      </text>
    </comment>
    <comment ref="L3" authorId="0" shapeId="0" xr:uid="{00000000-0006-0000-0000-000007000000}">
      <text>
        <r>
          <rPr>
            <sz val="9"/>
            <color indexed="81"/>
            <rFont val="Tahoma"/>
            <family val="2"/>
          </rPr>
          <t xml:space="preserve">- Is total period identified in the agreement (not including any options to extend or terminate)
enter term in years
</t>
        </r>
      </text>
    </comment>
    <comment ref="N3" authorId="0" shapeId="0" xr:uid="{00000000-0006-0000-0000-000008000000}">
      <text>
        <r>
          <rPr>
            <b/>
            <sz val="9"/>
            <color indexed="81"/>
            <rFont val="Tahoma"/>
            <family val="2"/>
          </rPr>
          <t>This is representative of a high level of certainity: consideration of how options have been handled in the past, the economic impact of the option, and the importance/significance of the underlying asset to operations should be considered</t>
        </r>
      </text>
    </comment>
    <comment ref="O3" authorId="0" shapeId="0" xr:uid="{00000000-0006-0000-0000-000009000000}">
      <text>
        <r>
          <rPr>
            <b/>
            <sz val="9"/>
            <color indexed="81"/>
            <rFont val="Tahoma"/>
            <family val="2"/>
          </rPr>
          <t>Identify the year you are resonably certain to exercise option</t>
        </r>
      </text>
    </comment>
    <comment ref="R3" authorId="0" shapeId="0" xr:uid="{00000000-0006-0000-0000-00000A000000}">
      <text>
        <r>
          <rPr>
            <b/>
            <sz val="9"/>
            <color indexed="81"/>
            <rFont val="Tahoma"/>
            <family val="2"/>
          </rPr>
          <t>enter the number of years you are resonably certain to be extending the agreeement beyond the original term.</t>
        </r>
      </text>
    </comment>
    <comment ref="Y3" authorId="0" shapeId="0" xr:uid="{00000000-0006-0000-0000-00000B000000}">
      <text>
        <r>
          <rPr>
            <b/>
            <sz val="9"/>
            <color indexed="81"/>
            <rFont val="Tahoma"/>
            <family val="2"/>
          </rPr>
          <t>If options to extend require both parties to agree they are considered cancellable under par. 12</t>
        </r>
        <r>
          <rPr>
            <sz val="9"/>
            <color indexed="81"/>
            <rFont val="Tahoma"/>
            <family val="2"/>
          </rPr>
          <t xml:space="preserve">
</t>
        </r>
      </text>
    </comment>
    <comment ref="AG3" authorId="0" shapeId="0" xr:uid="{00000000-0006-0000-0000-00000C000000}">
      <text>
        <r>
          <rPr>
            <b/>
            <sz val="9"/>
            <color indexed="81"/>
            <rFont val="Tahoma"/>
            <family val="2"/>
          </rPr>
          <t>If multiple then assess reasonableness to allocate; if a component is another underlying asset add to inventory</t>
        </r>
      </text>
    </comment>
    <comment ref="AL3" authorId="0" shapeId="0" xr:uid="{00000000-0006-0000-0000-00000D000000}">
      <text>
        <r>
          <rPr>
            <sz val="9"/>
            <color indexed="81"/>
            <rFont val="Tahoma"/>
            <family val="2"/>
          </rPr>
          <t>If the agreement does not include a stated rate; consider application of GASB Statement No. 62 par. 173-187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Pembrook</author>
  </authors>
  <commentList>
    <comment ref="A2" authorId="0" shapeId="0" xr:uid="{00000000-0006-0000-0100-000001000000}">
      <text>
        <r>
          <rPr>
            <b/>
            <sz val="9"/>
            <color indexed="81"/>
            <rFont val="Tahoma"/>
            <family val="2"/>
          </rPr>
          <t>Enter Description for Lease (could be number identifier or other)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Pembrook</author>
  </authors>
  <commentList>
    <comment ref="C5" authorId="0" shapeId="0" xr:uid="{00000000-0006-0000-0900-000001000000}">
      <text>
        <r>
          <rPr>
            <b/>
            <sz val="9"/>
            <color indexed="81"/>
            <rFont val="Tahoma"/>
            <family val="2"/>
          </rPr>
          <t xml:space="preserve">Amount + Amortized Expense from Pension Schedule
</t>
        </r>
      </text>
    </comment>
    <comment ref="C6" authorId="0" shapeId="0" xr:uid="{00000000-0006-0000-0900-000002000000}">
      <text>
        <r>
          <rPr>
            <b/>
            <sz val="9"/>
            <color indexed="81"/>
            <rFont val="Tahoma"/>
            <family val="2"/>
          </rPr>
          <t xml:space="preserve">Amount + Amortized Expense from Pension Schedule
</t>
        </r>
      </text>
    </comment>
    <comment ref="C7" authorId="0" shapeId="0" xr:uid="{00000000-0006-0000-0900-000003000000}">
      <text>
        <r>
          <rPr>
            <b/>
            <sz val="9"/>
            <color indexed="81"/>
            <rFont val="Tahoma"/>
            <family val="2"/>
          </rPr>
          <t xml:space="preserve">Amount + Amortized Expense from Pension Schedule
</t>
        </r>
      </text>
    </comment>
    <comment ref="C8" authorId="0" shapeId="0" xr:uid="{00000000-0006-0000-0900-000004000000}">
      <text>
        <r>
          <rPr>
            <b/>
            <sz val="9"/>
            <color indexed="81"/>
            <rFont val="Tahoma"/>
            <family val="2"/>
          </rPr>
          <t xml:space="preserve">Amount + Amortized Expense from Pension Schedule
</t>
        </r>
      </text>
    </comment>
    <comment ref="C9" authorId="0" shapeId="0" xr:uid="{00000000-0006-0000-0900-000005000000}">
      <text>
        <r>
          <rPr>
            <b/>
            <sz val="9"/>
            <color indexed="81"/>
            <rFont val="Tahoma"/>
            <family val="2"/>
          </rPr>
          <t xml:space="preserve">Amount + Amortized Expense from Pension Schedule
</t>
        </r>
      </text>
    </comment>
    <comment ref="C10" authorId="0" shapeId="0" xr:uid="{00000000-0006-0000-0900-000006000000}">
      <text>
        <r>
          <rPr>
            <b/>
            <sz val="9"/>
            <color indexed="81"/>
            <rFont val="Tahoma"/>
            <family val="2"/>
          </rPr>
          <t xml:space="preserve">Amount + Amortized Expense from Pension Schedule
</t>
        </r>
      </text>
    </comment>
  </commentList>
</comments>
</file>

<file path=xl/sharedStrings.xml><?xml version="1.0" encoding="utf-8"?>
<sst xmlns="http://schemas.openxmlformats.org/spreadsheetml/2006/main" count="374" uniqueCount="244">
  <si>
    <t>Date</t>
  </si>
  <si>
    <t>Principal</t>
  </si>
  <si>
    <t>Lessee Options</t>
  </si>
  <si>
    <t>Lessor Options</t>
  </si>
  <si>
    <t>Rate</t>
  </si>
  <si>
    <t>Multiple Components</t>
  </si>
  <si>
    <t xml:space="preserve"> (Yes/No)</t>
  </si>
  <si>
    <t xml:space="preserve">Describe </t>
  </si>
  <si>
    <t>Lessee/Lessor</t>
  </si>
  <si>
    <t>Termination Option</t>
  </si>
  <si>
    <t>Year to Exercise</t>
  </si>
  <si>
    <t>Land</t>
  </si>
  <si>
    <t>Building</t>
  </si>
  <si>
    <t>Infrastructure</t>
  </si>
  <si>
    <t>Equipment</t>
  </si>
  <si>
    <t>Option to Extend</t>
  </si>
  <si>
    <t>Years to Extend</t>
  </si>
  <si>
    <t>Title</t>
  </si>
  <si>
    <t>Vehicles</t>
  </si>
  <si>
    <t>Intangible Asset</t>
  </si>
  <si>
    <t>Service</t>
  </si>
  <si>
    <t>Payment Frequency</t>
  </si>
  <si>
    <t>Payment Periods</t>
  </si>
  <si>
    <t>If Imputed Describe</t>
  </si>
  <si>
    <t>Lease Determination</t>
  </si>
  <si>
    <t>Present Value</t>
  </si>
  <si>
    <t>Fixed/Insubstance fixed payments</t>
  </si>
  <si>
    <r>
      <rPr>
        <b/>
        <sz val="11"/>
        <color indexed="8"/>
        <rFont val="Calibri"/>
        <family val="2"/>
      </rPr>
      <t>Underlying</t>
    </r>
    <r>
      <rPr>
        <b/>
        <i/>
        <sz val="11"/>
        <color indexed="8"/>
        <rFont val="Calibri"/>
        <family val="2"/>
      </rPr>
      <t xml:space="preserve"> Asset Type</t>
    </r>
  </si>
  <si>
    <r>
      <rPr>
        <b/>
        <i/>
        <sz val="11"/>
        <color indexed="8"/>
        <rFont val="Calibri"/>
        <family val="2"/>
      </rPr>
      <t>Reasonably Certain</t>
    </r>
  </si>
  <si>
    <t>Termination Option8</t>
  </si>
  <si>
    <t>Reasonably Certain9</t>
  </si>
  <si>
    <t>Year to Exercise10</t>
  </si>
  <si>
    <t>Option to Extend11</t>
  </si>
  <si>
    <t>Reasonably Certain12</t>
  </si>
  <si>
    <t>Years to Extend13</t>
  </si>
  <si>
    <t>Control/Right to use (Y/N)</t>
  </si>
  <si>
    <t>Max Lease term greater than 12 months</t>
  </si>
  <si>
    <t>Governmental/BTA</t>
  </si>
  <si>
    <t>Governmental</t>
  </si>
  <si>
    <t>BTA</t>
  </si>
  <si>
    <t>Accumulation of Immaterial Items:</t>
  </si>
  <si>
    <t>Agreement</t>
  </si>
  <si>
    <t>Agreement Term</t>
  </si>
  <si>
    <t>Agreeement Effective Date</t>
  </si>
  <si>
    <t>Reasonably Certain2</t>
  </si>
  <si>
    <t>Interest Rate (stated or implied)</t>
  </si>
  <si>
    <t>Accumulation of Immaterial Agreements</t>
  </si>
  <si>
    <t>Variable payments to track for note disclosure</t>
  </si>
  <si>
    <t>Describe</t>
  </si>
  <si>
    <t>Based on your governments classifications</t>
  </si>
  <si>
    <t>Investment</t>
  </si>
  <si>
    <t>Assessed Term</t>
  </si>
  <si>
    <t>Term Options</t>
  </si>
  <si>
    <t>Extend Options</t>
  </si>
  <si>
    <t>Term (less term Cancellable)</t>
  </si>
  <si>
    <t>Payment (Beginning of Period or End of Period)</t>
  </si>
  <si>
    <t>Lessor Accumulation of Immaterial Items:</t>
  </si>
  <si>
    <t>Lessee Accumulation of Immaterial Items:</t>
  </si>
  <si>
    <t>This worksheet is to assist in the accumulation of agreements to compare to the definition of a lease as defined by GASB Statement No. 87.</t>
  </si>
  <si>
    <r>
      <rPr>
        <b/>
        <sz val="11"/>
        <color indexed="8"/>
        <rFont val="Calibri"/>
        <family val="2"/>
      </rPr>
      <t>Asset Classes</t>
    </r>
    <r>
      <rPr>
        <sz val="11"/>
        <color theme="1"/>
        <rFont val="Calibri"/>
        <family val="2"/>
        <scheme val="minor"/>
      </rPr>
      <t xml:space="preserve"> tab - update for major asset categories that your entity utilizes.  The categories identified will be used to track the Intangible Assets by category that will need to be recognized from the agreement. </t>
    </r>
  </si>
  <si>
    <t>We recommend those intangible assets that are recognized by tracked within your capital asset module under their appropriate category (e.g. Leased Building, Leased Equipment, etc.) as this information will be needed for disclosure purposes. For amortization purposes the shorter of the estimated life of the underlying asset or the term will be used; unless you are reasonably certain of exercising a purchase option.  If you are to exercise a purchase option the life of that asset, as established by your capitalization policy, should be utilized.</t>
  </si>
  <si>
    <t>Do not remove</t>
  </si>
  <si>
    <t>Do not remove - this is representative of what your agreement is for and not what you will classify the underlying asset as in your financial statements. (ex. copyright,  software)</t>
  </si>
  <si>
    <t>Do not remove - Ex. Utilities, Maintenance, Janitorial, Security.</t>
  </si>
  <si>
    <r>
      <t>Materiality:</t>
    </r>
    <r>
      <rPr>
        <sz val="11"/>
        <color theme="1"/>
        <rFont val="Calibri"/>
        <family val="2"/>
        <scheme val="minor"/>
      </rPr>
      <t xml:space="preserve"> With consideration of each agreement and the potential material effect onfinancial reporting consider a review of the Implementation Guide for Leases.   The entity should consider the accumulative effect on not recognized an agreement based on materiality.  This worksheet includes the accumulative effect from a lessee and lessor perspective for Governmental and Business-Type activities.</t>
    </r>
  </si>
  <si>
    <t>Preparer Consideration of Materiality (yes = material, no = not considered)</t>
  </si>
  <si>
    <t>Is there an exchange or exchange-like transaction</t>
  </si>
  <si>
    <t>Only populate period 0 if payments made at (B)eginning of period; only populate final period if payments made at (E)nd of period</t>
  </si>
  <si>
    <t>Payment #</t>
  </si>
  <si>
    <t>PV of Payments</t>
  </si>
  <si>
    <t>Payment Date</t>
  </si>
  <si>
    <t>a. Fixed payments</t>
  </si>
  <si>
    <t>c. Variable payments that are fixed in substance (See guidance to right)</t>
  </si>
  <si>
    <t>d. Amounts that are reasonably certain of being required to be paid by THE LESSEE under residual value guarantees (RVGs)</t>
  </si>
  <si>
    <r>
      <t>e. The exercise price of a purchase option if it is</t>
    </r>
    <r>
      <rPr>
        <b/>
        <u/>
        <sz val="9"/>
        <rFont val="Tahoma"/>
        <family val="2"/>
      </rPr>
      <t xml:space="preserve"> reasonably certain</t>
    </r>
    <r>
      <rPr>
        <b/>
        <sz val="9"/>
        <rFont val="Tahoma"/>
        <family val="2"/>
      </rPr>
      <t xml:space="preserve"> that the LESSEE will exercise that option</t>
    </r>
  </si>
  <si>
    <r>
      <t xml:space="preserve">h. Any other payments that are </t>
    </r>
    <r>
      <rPr>
        <b/>
        <u/>
        <sz val="9"/>
        <rFont val="Tahoma"/>
        <family val="2"/>
      </rPr>
      <t>reasonably certain</t>
    </r>
    <r>
      <rPr>
        <b/>
        <sz val="9"/>
        <rFont val="Tahoma"/>
        <family val="2"/>
      </rPr>
      <t xml:space="preserve"> of being required based on an assessment of all relevant factors.</t>
    </r>
  </si>
  <si>
    <t>Total Payments</t>
  </si>
  <si>
    <t>IF End of Period Pmts</t>
  </si>
  <si>
    <t>IF Beginning of Period Pmts</t>
  </si>
  <si>
    <t>The below are automated calculations. Do not make any changes. Note the final lease liability figure may not equal zero due to rounding.</t>
  </si>
  <si>
    <t>(a)</t>
  </si>
  <si>
    <t>(b)</t>
  </si>
  <si>
    <r>
      <t>When are lease payments made? (</t>
    </r>
    <r>
      <rPr>
        <b/>
        <sz val="10"/>
        <rFont val="Arial"/>
        <family val="2"/>
      </rPr>
      <t>B</t>
    </r>
    <r>
      <rPr>
        <sz val="10"/>
        <rFont val="Arial"/>
        <family val="2"/>
      </rPr>
      <t>)eginning of the period in advance or (</t>
    </r>
    <r>
      <rPr>
        <b/>
        <sz val="10"/>
        <rFont val="Arial"/>
        <family val="2"/>
      </rPr>
      <t>E</t>
    </r>
    <r>
      <rPr>
        <sz val="10"/>
        <rFont val="Arial"/>
        <family val="2"/>
      </rPr>
      <t>)nd of the period in arrears</t>
    </r>
  </si>
  <si>
    <t>Lease - Discount Rate</t>
  </si>
  <si>
    <t>Inventory Lease Term ( * frequency)</t>
  </si>
  <si>
    <r>
      <t xml:space="preserve">f. Payments for penalties for terminating the lease </t>
    </r>
    <r>
      <rPr>
        <b/>
        <u/>
        <sz val="9"/>
        <rFont val="Tahoma"/>
        <family val="2"/>
      </rPr>
      <t xml:space="preserve">reasonably certain </t>
    </r>
  </si>
  <si>
    <t>b. Variable payments that depend on an index or a rate (such as the Consumer Price Index or a market interest rate)</t>
  </si>
  <si>
    <t>Payments</t>
  </si>
  <si>
    <t>Scheule for a lessee or lessor arrangement?</t>
  </si>
  <si>
    <t xml:space="preserve">g. Any lease incentives receivable from (by) the LESSOR </t>
  </si>
  <si>
    <t xml:space="preserve">Number of Payments </t>
  </si>
  <si>
    <t>Lease Term</t>
  </si>
  <si>
    <t>(c)</t>
  </si>
  <si>
    <t>(a) + (c) - (b)</t>
  </si>
  <si>
    <t>(b) - (c )</t>
  </si>
  <si>
    <t>Lease Inputs (input information based on lease inventory tab)</t>
  </si>
  <si>
    <t xml:space="preserve">Lease Commencement Date </t>
  </si>
  <si>
    <t>What is the payment frequency? Annual / SemiAnnual / Quarterly / Monthly /Weekly</t>
  </si>
  <si>
    <t>Does Agreement Transfer Title (without termination options)</t>
  </si>
  <si>
    <t>Inventory Lease Term Column K</t>
  </si>
  <si>
    <t>Inventory Lease tab - column B</t>
  </si>
  <si>
    <t>Inventory Lease rate - column AL</t>
  </si>
  <si>
    <t>Inventory Sheet - Column AC</t>
  </si>
  <si>
    <t xml:space="preserve"> a.  This tab will also allow for additional input for other amounts to be included (ex. Lessee reasonably certain of exercising purchase option - can include $ of option in schedule)</t>
  </si>
  <si>
    <t>b. if changes need to occur - delete the tab and update information on tab "Inventory"; once updated reselect "Yes" on materiality column. This will generate the tab again.</t>
  </si>
  <si>
    <t xml:space="preserve"> Once the agreement has been evaluated and identified as needing to be recognized an amortization schedule will need to be developed for each agreement.(Ensure all data is filled out and Select "Yes" - lease is material -  this will generate an amortization tab named based on Column A)</t>
  </si>
  <si>
    <t>Inventory Sheet - Column AB</t>
  </si>
  <si>
    <t>End</t>
  </si>
  <si>
    <t>Fiscal Year</t>
  </si>
  <si>
    <t>Begin</t>
  </si>
  <si>
    <t>FYE</t>
  </si>
  <si>
    <t>Interest</t>
  </si>
  <si>
    <t>Fiscal Year Period</t>
  </si>
  <si>
    <t>LESSOR Principal &amp; Interest</t>
  </si>
  <si>
    <t>LESSEE Principal &amp; Interest</t>
  </si>
  <si>
    <t xml:space="preserve">*consideration should be made at major/nonmajor fund level for governmental activities </t>
  </si>
  <si>
    <t>Update for Fiscal Year Reporting</t>
  </si>
  <si>
    <t>Activity during fiscal year</t>
  </si>
  <si>
    <t>NOTE SCHEDULE</t>
  </si>
  <si>
    <t>Total For Notes</t>
  </si>
  <si>
    <t>This  is a blank tab - utilzied for accumulation/summary tab.</t>
  </si>
  <si>
    <t>DO NOT HIDE TAB.</t>
  </si>
  <si>
    <r>
      <t>a.</t>
    </r>
    <r>
      <rPr>
        <b/>
        <sz val="7"/>
        <color theme="1"/>
        <rFont val="Times New Roman"/>
        <family val="1"/>
      </rPr>
      <t xml:space="preserve">       </t>
    </r>
    <r>
      <rPr>
        <b/>
        <sz val="11"/>
        <color theme="1"/>
        <rFont val="Calibri"/>
        <family val="2"/>
        <scheme val="minor"/>
      </rPr>
      <t xml:space="preserve">Lessor </t>
    </r>
    <r>
      <rPr>
        <sz val="11"/>
        <color theme="1"/>
        <rFont val="Calibri"/>
        <family val="2"/>
        <scheme val="minor"/>
      </rPr>
      <t>– the party granting a lease to someone else; receives payment for granting the right to use an asset to the lessee.</t>
    </r>
  </si>
  <si>
    <r>
      <t>b.</t>
    </r>
    <r>
      <rPr>
        <b/>
        <sz val="7"/>
        <color theme="1"/>
        <rFont val="Times New Roman"/>
        <family val="1"/>
      </rPr>
      <t xml:space="preserve">      </t>
    </r>
    <r>
      <rPr>
        <b/>
        <sz val="11"/>
        <color theme="1"/>
        <rFont val="Calibri"/>
        <family val="2"/>
        <scheme val="minor"/>
      </rPr>
      <t xml:space="preserve">Lessee </t>
    </r>
    <r>
      <rPr>
        <sz val="11"/>
        <color theme="1"/>
        <rFont val="Calibri"/>
        <family val="2"/>
        <scheme val="minor"/>
      </rPr>
      <t>– the party being granted the right to use an asset by the lessor.</t>
    </r>
  </si>
  <si>
    <r>
      <t>a.</t>
    </r>
    <r>
      <rPr>
        <b/>
        <sz val="7"/>
        <color theme="1"/>
        <rFont val="Times New Roman"/>
        <family val="1"/>
      </rPr>
      <t xml:space="preserve">       </t>
    </r>
    <r>
      <rPr>
        <sz val="11"/>
        <color theme="1"/>
        <rFont val="Calibri"/>
        <family val="2"/>
        <scheme val="minor"/>
      </rPr>
      <t>Control does not have to be uninterrupted and while the agreement may have conditions on use that does not limit your entities control of service capacity of the agreement.</t>
    </r>
  </si>
  <si>
    <r>
      <t>a.</t>
    </r>
    <r>
      <rPr>
        <sz val="7"/>
        <color theme="1"/>
        <rFont val="Times New Roman"/>
        <family val="1"/>
      </rPr>
      <t xml:space="preserve">       </t>
    </r>
    <r>
      <rPr>
        <sz val="11"/>
        <color theme="1"/>
        <rFont val="Calibri"/>
        <family val="2"/>
        <scheme val="minor"/>
      </rPr>
      <t>Options to extend should be considered in the lease term whether or not they are expected to be exercised.</t>
    </r>
  </si>
  <si>
    <r>
      <t>a.</t>
    </r>
    <r>
      <rPr>
        <sz val="7"/>
        <color theme="1"/>
        <rFont val="Times New Roman"/>
        <family val="1"/>
      </rPr>
      <t xml:space="preserve">       </t>
    </r>
    <r>
      <rPr>
        <sz val="11"/>
        <color theme="1"/>
        <rFont val="Calibri"/>
        <family val="2"/>
        <scheme val="minor"/>
      </rPr>
      <t>In order to evaluate whether or not exercising an option is “reasonably certain”, you should:</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</si>
  <si>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Consider how this option has been handled in the past</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</si>
  <si>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Consider the economic impact of the option</t>
    </r>
  </si>
  <si>
    <r>
      <t xml:space="preserve">                                                           </t>
    </r>
    <r>
      <rPr>
        <sz val="11"/>
        <color theme="1"/>
        <rFont val="Calibri"/>
        <family val="2"/>
        <scheme val="minor"/>
      </rPr>
      <t>iii.</t>
    </r>
    <r>
      <rPr>
        <sz val="7"/>
        <color theme="1"/>
        <rFont val="Times New Roman"/>
        <family val="1"/>
      </rPr>
      <t xml:space="preserve">      </t>
    </r>
    <r>
      <rPr>
        <sz val="11"/>
        <color theme="1"/>
        <rFont val="Calibri"/>
        <family val="2"/>
        <scheme val="minor"/>
      </rPr>
      <t>Consider the importance of the underlying asset to operations</t>
    </r>
  </si>
  <si>
    <r>
      <t>a.</t>
    </r>
    <r>
      <rPr>
        <b/>
        <sz val="7"/>
        <color theme="1"/>
        <rFont val="Times New Roman"/>
        <family val="1"/>
      </rPr>
      <t xml:space="preserve">       </t>
    </r>
    <r>
      <rPr>
        <sz val="11"/>
        <color theme="1"/>
        <rFont val="Calibri"/>
        <family val="2"/>
        <scheme val="minor"/>
      </rPr>
      <t>The lease could have multiple underlying assets</t>
    </r>
  </si>
  <si>
    <r>
      <t>b.</t>
    </r>
    <r>
      <rPr>
        <b/>
        <sz val="7"/>
        <color theme="1"/>
        <rFont val="Times New Roman"/>
        <family val="1"/>
      </rPr>
      <t xml:space="preserve">      </t>
    </r>
    <r>
      <rPr>
        <sz val="11"/>
        <color theme="1"/>
        <rFont val="Calibri"/>
        <family val="2"/>
        <scheme val="minor"/>
      </rPr>
      <t>The lease could have non-lease components such as maintenance costs</t>
    </r>
  </si>
  <si>
    <t>Information regarding Columns</t>
  </si>
  <si>
    <r>
      <t>A.</t>
    </r>
    <r>
      <rPr>
        <b/>
        <sz val="7"/>
        <color theme="1"/>
        <rFont val="Times New Roman"/>
        <family val="1"/>
      </rPr>
      <t xml:space="preserve">      </t>
    </r>
    <r>
      <rPr>
        <b/>
        <sz val="11"/>
        <color theme="1"/>
        <rFont val="Calibri"/>
        <family val="2"/>
        <scheme val="minor"/>
      </rPr>
      <t xml:space="preserve">Agreement Number/Description – </t>
    </r>
    <r>
      <rPr>
        <sz val="11"/>
        <color theme="1"/>
        <rFont val="Calibri"/>
        <family val="2"/>
        <scheme val="minor"/>
      </rPr>
      <t xml:space="preserve">Enter the Lease number and Master Agreement Number./&amp; brief description </t>
    </r>
  </si>
  <si>
    <r>
      <t>B.</t>
    </r>
    <r>
      <rPr>
        <b/>
        <sz val="7"/>
        <color theme="1"/>
        <rFont val="Times New Roman"/>
        <family val="1"/>
      </rPr>
      <t xml:space="preserve">      </t>
    </r>
    <r>
      <rPr>
        <b/>
        <sz val="11"/>
        <color theme="1"/>
        <rFont val="Calibri"/>
        <family val="2"/>
        <scheme val="minor"/>
      </rPr>
      <t>Agreement Effective Date</t>
    </r>
    <r>
      <rPr>
        <sz val="11"/>
        <color theme="1"/>
        <rFont val="Calibri"/>
        <family val="2"/>
        <scheme val="minor"/>
      </rPr>
      <t xml:space="preserve"> – Enter the date that the lease begins.</t>
    </r>
  </si>
  <si>
    <r>
      <t>C.</t>
    </r>
    <r>
      <rPr>
        <b/>
        <sz val="7"/>
        <color theme="1"/>
        <rFont val="Times New Roman"/>
        <family val="1"/>
      </rPr>
      <t xml:space="preserve">      </t>
    </r>
    <r>
      <rPr>
        <b/>
        <sz val="11"/>
        <color theme="1"/>
        <rFont val="Calibri"/>
        <family val="2"/>
        <scheme val="minor"/>
      </rPr>
      <t>Lessee/Lessor</t>
    </r>
    <r>
      <rPr>
        <sz val="11"/>
        <color theme="1"/>
        <rFont val="Calibri"/>
        <family val="2"/>
        <scheme val="minor"/>
      </rPr>
      <t xml:space="preserve"> – Indicate whether you are the lessee or lessor in the lease agreement.</t>
    </r>
  </si>
  <si>
    <r>
      <t>E.</t>
    </r>
    <r>
      <rPr>
        <b/>
        <sz val="7"/>
        <color theme="1"/>
        <rFont val="Times New Roman"/>
        <family val="1"/>
      </rPr>
      <t xml:space="preserve">      </t>
    </r>
    <r>
      <rPr>
        <b/>
        <sz val="11"/>
        <color theme="1"/>
        <rFont val="Calibri"/>
        <family val="2"/>
        <scheme val="minor"/>
      </rPr>
      <t xml:space="preserve">Underlying Asset Type </t>
    </r>
    <r>
      <rPr>
        <sz val="11"/>
        <color theme="1"/>
        <rFont val="Calibri"/>
        <family val="2"/>
        <scheme val="minor"/>
      </rPr>
      <t>– Select the asset type being leased (Intangible, Service, Investment, Land, Building, Vehicle, Infrastructure, or Equipment).</t>
    </r>
  </si>
  <si>
    <r>
      <t>F.</t>
    </r>
    <r>
      <rPr>
        <b/>
        <sz val="7"/>
        <color theme="1"/>
        <rFont val="Times New Roman"/>
        <family val="1"/>
      </rPr>
      <t xml:space="preserve">      </t>
    </r>
    <r>
      <rPr>
        <b/>
        <sz val="11"/>
        <color theme="1"/>
        <rFont val="Calibri"/>
        <family val="2"/>
        <scheme val="minor"/>
      </rPr>
      <t xml:space="preserve">Control/Right to Use </t>
    </r>
    <r>
      <rPr>
        <sz val="11"/>
        <color theme="1"/>
        <rFont val="Calibri"/>
        <family val="2"/>
        <scheme val="minor"/>
      </rPr>
      <t>– Select yes or no – whether or not the contract conveys control to the lessee of the right to use the lessor’s asset as specified in the contract for a period of time in an exchange or exchange-like transaction.</t>
    </r>
  </si>
  <si>
    <r>
      <t>G.</t>
    </r>
    <r>
      <rPr>
        <sz val="7"/>
        <color theme="1"/>
        <rFont val="Times New Roman"/>
        <family val="1"/>
      </rPr>
      <t xml:space="preserve">         </t>
    </r>
    <r>
      <rPr>
        <b/>
        <sz val="11"/>
        <color theme="1"/>
        <rFont val="Calibri"/>
        <family val="2"/>
        <scheme val="minor"/>
      </rPr>
      <t xml:space="preserve">Max Lease Term Greater than 12 Months </t>
    </r>
    <r>
      <rPr>
        <sz val="11"/>
        <color theme="1"/>
        <rFont val="Calibri"/>
        <family val="2"/>
        <scheme val="minor"/>
      </rPr>
      <t>– Select whether or not the maximum lease term is greater than 12 months</t>
    </r>
  </si>
  <si>
    <r>
      <t xml:space="preserve">AB. Payment Frequency – </t>
    </r>
    <r>
      <rPr>
        <sz val="11"/>
        <color theme="1"/>
        <rFont val="Calibri"/>
        <family val="2"/>
        <scheme val="minor"/>
      </rPr>
      <t>Indicate whether payments against the lease are made weekly, monthly, quarterly, or annually.</t>
    </r>
  </si>
  <si>
    <r>
      <t>AC.</t>
    </r>
    <r>
      <rPr>
        <sz val="11"/>
        <color theme="1"/>
        <rFont val="Calibri"/>
        <family val="2"/>
        <scheme val="minor"/>
      </rPr>
      <t xml:space="preserve"> </t>
    </r>
    <r>
      <rPr>
        <b/>
        <sz val="11"/>
        <color theme="1"/>
        <rFont val="Calibri"/>
        <family val="2"/>
        <scheme val="minor"/>
      </rPr>
      <t xml:space="preserve">Payment – </t>
    </r>
    <r>
      <rPr>
        <sz val="11"/>
        <color theme="1"/>
        <rFont val="Calibri"/>
        <family val="2"/>
        <scheme val="minor"/>
      </rPr>
      <t>Indicate whether the payment is made at the beginning or end of the period (If the lease payments are made monthly, are they paid at the beginning or end of the month, etc.)</t>
    </r>
  </si>
  <si>
    <r>
      <t>AD.</t>
    </r>
    <r>
      <rPr>
        <sz val="11"/>
        <color theme="1"/>
        <rFont val="Calibri"/>
        <family val="2"/>
        <scheme val="minor"/>
      </rPr>
      <t xml:space="preserve"> </t>
    </r>
    <r>
      <rPr>
        <b/>
        <sz val="11"/>
        <color theme="1"/>
        <rFont val="Calibri"/>
        <family val="2"/>
        <scheme val="minor"/>
      </rPr>
      <t xml:space="preserve">Payment Periods </t>
    </r>
    <r>
      <rPr>
        <sz val="11"/>
        <color theme="1"/>
        <rFont val="Calibri"/>
        <family val="2"/>
        <scheme val="minor"/>
      </rPr>
      <t>– This column is going to automatically populate with the total number of lease payments to be made based on your previous selections.  Verify that this number is correct.</t>
    </r>
  </si>
  <si>
    <r>
      <t>AE</t>
    </r>
    <r>
      <rPr>
        <sz val="11"/>
        <color theme="1"/>
        <rFont val="Calibri"/>
        <family val="2"/>
        <scheme val="minor"/>
      </rPr>
      <t>.</t>
    </r>
    <r>
      <rPr>
        <b/>
        <sz val="11"/>
        <color theme="1"/>
        <rFont val="Calibri"/>
        <family val="2"/>
        <scheme val="minor"/>
      </rPr>
      <t xml:space="preserve"> Multiple Components – </t>
    </r>
    <r>
      <rPr>
        <sz val="11"/>
        <color theme="1"/>
        <rFont val="Calibri"/>
        <family val="2"/>
        <scheme val="minor"/>
      </rPr>
      <t>Answer whether or not the lease has multiple components.  These can include:</t>
    </r>
  </si>
  <si>
    <r>
      <t>AF. Describe</t>
    </r>
    <r>
      <rPr>
        <sz val="11"/>
        <color theme="1"/>
        <rFont val="Calibri"/>
        <family val="2"/>
        <scheme val="minor"/>
      </rPr>
      <t xml:space="preserve"> – If you entered “Yes” in column AF for multiple components, describe all other components that the lease agreement has.</t>
    </r>
  </si>
  <si>
    <r>
      <t>AG</t>
    </r>
    <r>
      <rPr>
        <sz val="11"/>
        <color theme="1"/>
        <rFont val="Calibri"/>
        <family val="2"/>
        <scheme val="minor"/>
      </rPr>
      <t xml:space="preserve">. </t>
    </r>
    <r>
      <rPr>
        <b/>
        <sz val="11"/>
        <color theme="1"/>
        <rFont val="Calibri"/>
        <family val="2"/>
        <scheme val="minor"/>
      </rPr>
      <t xml:space="preserve">Fixed/Insubstance Fixed Payments </t>
    </r>
    <r>
      <rPr>
        <sz val="11"/>
        <color theme="1"/>
        <rFont val="Calibri"/>
        <family val="2"/>
        <scheme val="minor"/>
      </rPr>
      <t>– Enter the total amount of the lease payment that is fixed or fixed in substance.</t>
    </r>
  </si>
  <si>
    <r>
      <t>AH</t>
    </r>
    <r>
      <rPr>
        <sz val="11"/>
        <color theme="1"/>
        <rFont val="Calibri"/>
        <family val="2"/>
        <scheme val="minor"/>
      </rPr>
      <t xml:space="preserve">. </t>
    </r>
    <r>
      <rPr>
        <b/>
        <sz val="11"/>
        <color theme="1"/>
        <rFont val="Calibri"/>
        <family val="2"/>
        <scheme val="minor"/>
      </rPr>
      <t xml:space="preserve">Variable Payments to Track for Note Disclosure – </t>
    </r>
    <r>
      <rPr>
        <sz val="11"/>
        <color theme="1"/>
        <rFont val="Calibri"/>
        <family val="2"/>
        <scheme val="minor"/>
      </rPr>
      <t>Answer whether or not there are variable amounts paid against the lease (maintenance, paper for a copier, etc.)</t>
    </r>
  </si>
  <si>
    <r>
      <t xml:space="preserve">AI. Describe – </t>
    </r>
    <r>
      <rPr>
        <sz val="11"/>
        <color theme="1"/>
        <rFont val="Calibri"/>
        <family val="2"/>
        <scheme val="minor"/>
      </rPr>
      <t>If you answered “Yes” in column AI, describe the variable payments associated with the lease.</t>
    </r>
  </si>
  <si>
    <r>
      <t xml:space="preserve">AJ Interest Rate </t>
    </r>
    <r>
      <rPr>
        <sz val="11"/>
        <color theme="1"/>
        <rFont val="Calibri"/>
        <family val="2"/>
        <scheme val="minor"/>
      </rPr>
      <t>– Indicate whether the interest rate is stated in the lease agreement or if it will be implied from another comparable source.</t>
    </r>
  </si>
  <si>
    <r>
      <t xml:space="preserve">AL. Rate – </t>
    </r>
    <r>
      <rPr>
        <sz val="11"/>
        <color theme="1"/>
        <rFont val="Calibri"/>
        <family val="2"/>
        <scheme val="minor"/>
      </rPr>
      <t>Enter the interest rate of the lease agreement.</t>
    </r>
  </si>
  <si>
    <r>
      <t xml:space="preserve">AM. Present Value – </t>
    </r>
    <r>
      <rPr>
        <sz val="11"/>
        <color theme="1"/>
        <rFont val="Calibri"/>
        <family val="2"/>
        <scheme val="minor"/>
      </rPr>
      <t>This column will automatically populate based on your previous selections.</t>
    </r>
  </si>
  <si>
    <r>
      <t xml:space="preserve">AO. Accumulation of Immaterial Agreements – </t>
    </r>
    <r>
      <rPr>
        <sz val="11"/>
        <color theme="1"/>
        <rFont val="Calibri"/>
        <family val="2"/>
        <scheme val="minor"/>
      </rPr>
      <t>This column will automatically populate based on your previous selections.</t>
    </r>
  </si>
  <si>
    <r>
      <t xml:space="preserve">AK. If Imputed, Describe – </t>
    </r>
    <r>
      <rPr>
        <sz val="11"/>
        <color theme="1"/>
        <rFont val="Calibri"/>
        <family val="2"/>
        <scheme val="minor"/>
      </rPr>
      <t>If you selected imputed in column AK, describe where the imputed rate is coming from. Guidance in GASB 62 par 173-187, see also associated IG Questions</t>
    </r>
  </si>
  <si>
    <r>
      <t xml:space="preserve">AN. Preparer Consideration of Materiality – </t>
    </r>
    <r>
      <rPr>
        <sz val="11"/>
        <color theme="1"/>
        <rFont val="Calibri"/>
        <family val="2"/>
        <scheme val="minor"/>
      </rPr>
      <t>This column will automatically populate based on your previous selections. (Will then generate a separate tab for each lease you determine you want to record)</t>
    </r>
  </si>
  <si>
    <t>Based on New Agreements(Leases)</t>
  </si>
  <si>
    <t>Notes</t>
  </si>
  <si>
    <t>ref</t>
  </si>
  <si>
    <t>Inventory</t>
  </si>
  <si>
    <r>
      <t>D.</t>
    </r>
    <r>
      <rPr>
        <b/>
        <sz val="7"/>
        <color theme="1"/>
        <rFont val="Times New Roman"/>
        <family val="1"/>
      </rPr>
      <t xml:space="preserve">       </t>
    </r>
    <r>
      <rPr>
        <b/>
        <sz val="11"/>
        <color theme="1"/>
        <rFont val="Calibri"/>
        <family val="2"/>
        <scheme val="minor"/>
      </rPr>
      <t>Governmental/BTA/ISF</t>
    </r>
  </si>
  <si>
    <t>Lease term perpetual</t>
  </si>
  <si>
    <t xml:space="preserve">H.     Lease Term Perpetual - </t>
  </si>
  <si>
    <r>
      <t>I.</t>
    </r>
    <r>
      <rPr>
        <sz val="7"/>
        <color theme="1"/>
        <rFont val="Times New Roman"/>
        <family val="1"/>
      </rPr>
      <t>      </t>
    </r>
    <r>
      <rPr>
        <sz val="11"/>
        <color theme="1"/>
        <rFont val="Times New Roman"/>
        <family val="1"/>
      </rPr>
      <t> </t>
    </r>
    <r>
      <rPr>
        <b/>
        <sz val="11"/>
        <color theme="1"/>
        <rFont val="Calibri Light"/>
        <family val="2"/>
        <scheme val="major"/>
      </rPr>
      <t>Exchange or Exchange-like transaction</t>
    </r>
    <r>
      <rPr>
        <sz val="11"/>
        <color theme="1"/>
        <rFont val="Calibri "/>
      </rPr>
      <t xml:space="preserve"> </t>
    </r>
    <r>
      <rPr>
        <sz val="11"/>
        <color theme="1"/>
        <rFont val="Calibri"/>
        <family val="2"/>
        <scheme val="minor"/>
      </rPr>
      <t>–Consideration exchanged are equal or similar value</t>
    </r>
  </si>
  <si>
    <r>
      <t>J.</t>
    </r>
    <r>
      <rPr>
        <sz val="7"/>
        <color theme="1"/>
        <rFont val="Times New Roman"/>
        <family val="1"/>
      </rPr>
      <t>      </t>
    </r>
    <r>
      <rPr>
        <sz val="11"/>
        <color theme="1"/>
        <rFont val="Times New Roman"/>
        <family val="1"/>
      </rPr>
      <t> </t>
    </r>
    <r>
      <rPr>
        <b/>
        <sz val="11"/>
        <color theme="1"/>
        <rFont val="Calibri Light"/>
        <family val="2"/>
        <scheme val="major"/>
      </rPr>
      <t>Transfer of Ownership</t>
    </r>
    <r>
      <rPr>
        <sz val="11"/>
        <color theme="1"/>
        <rFont val="Calibri "/>
      </rPr>
      <t xml:space="preserve"> </t>
    </r>
    <r>
      <rPr>
        <sz val="11"/>
        <color theme="1"/>
        <rFont val="Calibri"/>
        <family val="2"/>
        <scheme val="minor"/>
      </rPr>
      <t>– If title transfers by the end of the contract without a termination option; enter Yes</t>
    </r>
  </si>
  <si>
    <r>
      <t>K.</t>
    </r>
    <r>
      <rPr>
        <sz val="7"/>
        <color theme="1"/>
        <rFont val="Times New Roman"/>
        <family val="1"/>
      </rPr>
      <t xml:space="preserve">        </t>
    </r>
    <r>
      <rPr>
        <b/>
        <sz val="11"/>
        <color theme="1"/>
        <rFont val="Calibri"/>
        <family val="2"/>
        <scheme val="minor"/>
      </rPr>
      <t xml:space="preserve">Lease Determination – </t>
    </r>
    <r>
      <rPr>
        <sz val="11"/>
        <color theme="1"/>
        <rFont val="Calibri"/>
        <family val="2"/>
        <scheme val="minor"/>
      </rPr>
      <t xml:space="preserve">This column will automatically populate based on your previous responses in the worksheet.  </t>
    </r>
  </si>
  <si>
    <r>
      <t>L.</t>
    </r>
    <r>
      <rPr>
        <sz val="7"/>
        <color theme="1"/>
        <rFont val="Times New Roman"/>
        <family val="1"/>
      </rPr>
      <t xml:space="preserve">       </t>
    </r>
    <r>
      <rPr>
        <b/>
        <sz val="11"/>
        <color theme="1"/>
        <rFont val="Calibri"/>
        <family val="2"/>
        <scheme val="minor"/>
      </rPr>
      <t xml:space="preserve">Agreement Term </t>
    </r>
    <r>
      <rPr>
        <sz val="11"/>
        <color theme="1"/>
        <rFont val="Calibri"/>
        <family val="2"/>
        <scheme val="minor"/>
      </rPr>
      <t>– Enter the total term of the lease agreement, not including any options to extend or terminate the lease.</t>
    </r>
  </si>
  <si>
    <r>
      <t>M.</t>
    </r>
    <r>
      <rPr>
        <sz val="7"/>
        <color theme="1"/>
        <rFont val="Times New Roman"/>
        <family val="1"/>
      </rPr>
      <t xml:space="preserve">       </t>
    </r>
    <r>
      <rPr>
        <sz val="11"/>
        <color theme="1"/>
        <rFont val="Calibri"/>
        <family val="2"/>
        <scheme val="minor"/>
      </rPr>
      <t>Termination Option – Does the LESSEE have the option to terminate the lease agreement?</t>
    </r>
  </si>
  <si>
    <r>
      <t>N.</t>
    </r>
    <r>
      <rPr>
        <sz val="7"/>
        <color theme="1"/>
        <rFont val="Times New Roman"/>
        <family val="1"/>
      </rPr>
      <t xml:space="preserve">    </t>
    </r>
    <r>
      <rPr>
        <sz val="11"/>
        <color theme="1"/>
        <rFont val="Calibri"/>
        <family val="2"/>
        <scheme val="minor"/>
      </rPr>
      <t>Reasonably Certain – Is the LESSEE reasonably certain to exercise the termination option? (Remember - High Level of Certainty</t>
    </r>
  </si>
  <si>
    <r>
      <t>O.</t>
    </r>
    <r>
      <rPr>
        <sz val="7"/>
        <color theme="1"/>
        <rFont val="Times New Roman"/>
        <family val="1"/>
      </rPr>
      <t xml:space="preserve">      </t>
    </r>
    <r>
      <rPr>
        <sz val="11"/>
        <color theme="1"/>
        <rFont val="Calibri"/>
        <family val="2"/>
        <scheme val="minor"/>
      </rPr>
      <t>Year to Exercise – Identify the year in which the LESSEE is reasonable certain to exercise their option to terminate.</t>
    </r>
  </si>
  <si>
    <r>
      <t>P.</t>
    </r>
    <r>
      <rPr>
        <sz val="7"/>
        <color theme="1"/>
        <rFont val="Times New Roman"/>
        <family val="1"/>
      </rPr>
      <t xml:space="preserve">      </t>
    </r>
    <r>
      <rPr>
        <sz val="11"/>
        <color theme="1"/>
        <rFont val="Calibri"/>
        <family val="2"/>
        <scheme val="minor"/>
      </rPr>
      <t>Option to Extend – Does the LESSEE have the option to extend the lease?</t>
    </r>
  </si>
  <si>
    <r>
      <t>Q.</t>
    </r>
    <r>
      <rPr>
        <sz val="7"/>
        <color theme="1"/>
        <rFont val="Times New Roman"/>
        <family val="1"/>
      </rPr>
      <t xml:space="preserve">       </t>
    </r>
    <r>
      <rPr>
        <sz val="11"/>
        <color theme="1"/>
        <rFont val="Calibri"/>
        <family val="2"/>
        <scheme val="minor"/>
      </rPr>
      <t>Reasonably Certain – Is it reasonably certain that the LESSEE is going to exercise the option to extend? (Use same criteria as column M)</t>
    </r>
  </si>
  <si>
    <r>
      <t>R.</t>
    </r>
    <r>
      <rPr>
        <sz val="7"/>
        <color theme="1"/>
        <rFont val="Times New Roman"/>
        <family val="1"/>
      </rPr>
      <t xml:space="preserve">     </t>
    </r>
    <r>
      <rPr>
        <sz val="11"/>
        <color theme="1"/>
        <rFont val="Calibri"/>
        <family val="2"/>
        <scheme val="minor"/>
      </rPr>
      <t>Years to Extend – Enter the number of years that the LESSEE is reasonably certain to extend the contract beyond the original lease term</t>
    </r>
  </si>
  <si>
    <r>
      <t>S.</t>
    </r>
    <r>
      <rPr>
        <sz val="7"/>
        <color theme="1"/>
        <rFont val="Times New Roman"/>
        <family val="1"/>
      </rPr>
      <t xml:space="preserve">      </t>
    </r>
    <r>
      <rPr>
        <sz val="11"/>
        <color theme="1"/>
        <rFont val="Calibri"/>
        <family val="2"/>
        <scheme val="minor"/>
      </rPr>
      <t>Termination Option – Does the LESSOR have the option to terminate the lease agreement?</t>
    </r>
  </si>
  <si>
    <r>
      <t>T.</t>
    </r>
    <r>
      <rPr>
        <sz val="7"/>
        <color theme="1"/>
        <rFont val="Times New Roman"/>
        <family val="1"/>
      </rPr>
      <t xml:space="preserve">       </t>
    </r>
    <r>
      <rPr>
        <sz val="11"/>
        <color theme="1"/>
        <rFont val="Calibri"/>
        <family val="2"/>
        <scheme val="minor"/>
      </rPr>
      <t>Reasonably Certain – Is the LESSOR reasonably certain to exercise the termination option?</t>
    </r>
  </si>
  <si>
    <r>
      <t>U.</t>
    </r>
    <r>
      <rPr>
        <sz val="7"/>
        <color theme="1"/>
        <rFont val="Times New Roman"/>
        <family val="1"/>
      </rPr>
      <t xml:space="preserve">       </t>
    </r>
    <r>
      <rPr>
        <sz val="11"/>
        <color theme="1"/>
        <rFont val="Calibri"/>
        <family val="2"/>
        <scheme val="minor"/>
      </rPr>
      <t>Year to Exercise – Identify the year in which the LESSOR is reasonable certain to exercise their option to terminate.</t>
    </r>
  </si>
  <si>
    <r>
      <t>V.</t>
    </r>
    <r>
      <rPr>
        <sz val="7"/>
        <color theme="1"/>
        <rFont val="Times New Roman"/>
        <family val="1"/>
      </rPr>
      <t xml:space="preserve">      </t>
    </r>
    <r>
      <rPr>
        <sz val="11"/>
        <color theme="1"/>
        <rFont val="Calibri"/>
        <family val="2"/>
        <scheme val="minor"/>
      </rPr>
      <t>Option to Extend – Does the LESSOR have the option to extend the lease?</t>
    </r>
  </si>
  <si>
    <r>
      <t>W.</t>
    </r>
    <r>
      <rPr>
        <sz val="7"/>
        <color theme="1"/>
        <rFont val="Times New Roman"/>
        <family val="1"/>
      </rPr>
      <t xml:space="preserve">      </t>
    </r>
    <r>
      <rPr>
        <sz val="11"/>
        <color theme="1"/>
        <rFont val="Calibri"/>
        <family val="2"/>
        <scheme val="minor"/>
      </rPr>
      <t>Reasonably Certain – Is it reasonably certain that the LESSOR is going to exercise the option to extend? (Use same criteria as column M)</t>
    </r>
  </si>
  <si>
    <r>
      <t>X.</t>
    </r>
    <r>
      <rPr>
        <sz val="7"/>
        <color theme="1"/>
        <rFont val="Times New Roman"/>
        <family val="1"/>
      </rPr>
      <t xml:space="preserve">    </t>
    </r>
    <r>
      <rPr>
        <sz val="11"/>
        <color theme="1"/>
        <rFont val="Calibri"/>
        <family val="2"/>
        <scheme val="minor"/>
      </rPr>
      <t>Years to Extend – Enter the number of years that the LESSOR is reasonably certain to extend the contract beyond the original lease term.</t>
    </r>
  </si>
  <si>
    <r>
      <t>Columns M through R you are evaluating the terms and options for the LESSEE (the party that is being granted the right to use the underlying asset)</t>
    </r>
    <r>
      <rPr>
        <sz val="11"/>
        <color theme="1"/>
        <rFont val="Calibri"/>
        <family val="2"/>
        <scheme val="minor"/>
      </rPr>
      <t>.</t>
    </r>
  </si>
  <si>
    <t>Columns S through X, you are evaluating the terms and options for the LESSOR (the party that granted the lessee the right to use the underlying asset)</t>
  </si>
  <si>
    <t>Columns W through AA are automatically populated based on your previous responses in the worksheet.  No action is required for these columns.</t>
  </si>
  <si>
    <t>C &amp; A added column</t>
  </si>
  <si>
    <t>Asset</t>
  </si>
  <si>
    <t>Acquisition Date</t>
  </si>
  <si>
    <t>Acquisition Value</t>
  </si>
  <si>
    <t>New book value</t>
  </si>
  <si>
    <t>Remaining Life</t>
  </si>
  <si>
    <t>Current Thru Date</t>
  </si>
  <si>
    <t>Current YTD Depr</t>
  </si>
  <si>
    <t>Depreciation Method</t>
  </si>
  <si>
    <t>Financial Statement Groupings</t>
  </si>
  <si>
    <t>SL</t>
  </si>
  <si>
    <t>Total</t>
  </si>
  <si>
    <t>Restatement Beg balance adjustment</t>
  </si>
  <si>
    <t>Capital Asset - Intangible Equipment</t>
  </si>
  <si>
    <t>Lease Liability(restatement portion for disclosure)</t>
  </si>
  <si>
    <t>lease liability</t>
  </si>
  <si>
    <t>(same entry on lease determiantion worksheet noted here only to breakout restatement amounts)</t>
  </si>
  <si>
    <t>Amortization Expense (depreciation)</t>
  </si>
  <si>
    <t>Accumulated Amortization</t>
  </si>
  <si>
    <t>Capital Assets and Amortization Worksheet</t>
  </si>
  <si>
    <t>Current Accum Amort.</t>
  </si>
  <si>
    <t>Old Accum Amort.</t>
  </si>
  <si>
    <t>Journal Entry FY'22 - Ex.</t>
  </si>
  <si>
    <t>(Prior YR Bal.</t>
  </si>
  <si>
    <t>Do Both Parties have to agree for extension to occur?</t>
  </si>
  <si>
    <t>Verizon</t>
  </si>
  <si>
    <t>Per review of GL and transition of monthly payments start date of original was March 2019</t>
  </si>
  <si>
    <t>2. SAC</t>
  </si>
  <si>
    <t>Agreement is for 1 year with options to extend (requires both parties to agree; cancellable)</t>
  </si>
  <si>
    <t>pdf pg 1</t>
  </si>
  <si>
    <t>3. Casa</t>
  </si>
  <si>
    <t>Agreement (x.) termination allows either party to terminate with 120 days notice (cancellable period)</t>
  </si>
  <si>
    <t>PDF pg 3</t>
  </si>
  <si>
    <t xml:space="preserve">4. DOC </t>
  </si>
  <si>
    <t>Per City the most current agreememnt they have is fro 2015-2016; it has operated on a rolling year to year(this would make the agreement period cancellable after one year) - Short-term</t>
  </si>
  <si>
    <t>Lessor Deferral</t>
  </si>
  <si>
    <t>Name</t>
  </si>
  <si>
    <t>Amount Established</t>
  </si>
  <si>
    <t>Recognition Period</t>
  </si>
  <si>
    <t>Annual Recognition</t>
  </si>
  <si>
    <t>Amount Recognized</t>
  </si>
  <si>
    <t>Deferred Balance</t>
  </si>
  <si>
    <t>2022</t>
  </si>
  <si>
    <t>Total Outflows</t>
  </si>
  <si>
    <t>Total Inflows</t>
  </si>
  <si>
    <t>Account Number/Fund</t>
  </si>
  <si>
    <t>Fund/Account Number</t>
  </si>
  <si>
    <t>June 30th, 2023</t>
  </si>
  <si>
    <t>Asset Rollforward</t>
  </si>
  <si>
    <t>Balance</t>
  </si>
  <si>
    <t>Additions</t>
  </si>
  <si>
    <t>Retirements</t>
  </si>
  <si>
    <t xml:space="preserve">      Total capital assets (intangible)</t>
  </si>
  <si>
    <t>Less accumulated amortization</t>
  </si>
  <si>
    <t>Intangible Building</t>
  </si>
  <si>
    <t xml:space="preserve">      Total accumulated amortization</t>
  </si>
  <si>
    <t xml:space="preserve">         Other capital assets, net</t>
  </si>
  <si>
    <t>Amounts Due</t>
  </si>
  <si>
    <t>Deductions</t>
  </si>
  <si>
    <t>Within one year</t>
  </si>
  <si>
    <t>Note: If more than one spreadsheet per activity (ex. Multiple funds that are governmental) combine the activity either her or in a master not worksheet for reporting).</t>
  </si>
  <si>
    <t>Leased Asset Rollforward</t>
  </si>
  <si>
    <t>Lease assets:</t>
  </si>
  <si>
    <t>Intagible Equipment</t>
  </si>
  <si>
    <t>Lease Liabilities/Obligations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</si>
</sst>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quot;$&quot;#,##0.00"/>
    <numFmt numFmtId="166" formatCode="[$-409]mmmm\ d\,\ yyyy;@"/>
    <numFmt numFmtId="167" formatCode="_(* #,##0_);_(* \(#,##0\);_(* &quot;-&quot;??_);_(@_)"/>
    <numFmt numFmtId="168" formatCode="_(* #,##0.0_);_(* \(#,##0.0\);_(* &quot;-&quot;??_);_(@_)"/>
    <numFmt numFmtId="169" formatCode="_(&quot;$&quot;* #,##0_);_(&quot;$&quot;* \(#,##0\);_(&quot;$&quot;* &quot;-&quot;??_);_(@_)"/>
  </numFmts>
  <fonts count="44">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i/>
      <sz val="11"/>
      <color theme="1"/>
      <name val="Calibri"/>
      <family val="2"/>
      <scheme val="minor"/>
    </font>
    <font>
      <b/>
      <i/>
      <u/>
      <sz val="11"/>
      <color theme="1"/>
      <name val="Calibri"/>
      <family val="2"/>
      <scheme val="minor"/>
    </font>
    <font>
      <b/>
      <sz val="11"/>
      <color theme="3"/>
      <name val="Calibri"/>
      <family val="2"/>
      <scheme val="minor"/>
    </font>
    <font>
      <sz val="11"/>
      <color rgb="FF3F3F76"/>
      <name val="Calibri"/>
      <family val="2"/>
      <scheme val="minor"/>
    </font>
    <font>
      <sz val="10"/>
      <name val="Tahoma"/>
      <family val="2"/>
    </font>
    <font>
      <b/>
      <sz val="10"/>
      <name val="Tahoma"/>
      <family val="2"/>
    </font>
    <font>
      <b/>
      <sz val="10"/>
      <color rgb="FFFF0000"/>
      <name val="Tahoma"/>
      <family val="2"/>
    </font>
    <font>
      <b/>
      <sz val="9"/>
      <name val="Tahoma"/>
      <family val="2"/>
    </font>
    <font>
      <b/>
      <u/>
      <sz val="9"/>
      <name val="Tahoma"/>
      <family val="2"/>
    </font>
    <font>
      <b/>
      <sz val="8"/>
      <name val="Tahoma"/>
      <family val="2"/>
    </font>
    <font>
      <sz val="10"/>
      <name val="Arial"/>
      <family val="2"/>
    </font>
    <font>
      <b/>
      <sz val="10"/>
      <color rgb="FF0070C0"/>
      <name val="Tahoma"/>
      <family val="2"/>
    </font>
    <font>
      <sz val="8"/>
      <color rgb="FFFF0000"/>
      <name val="Tahoma"/>
      <family val="2"/>
    </font>
    <font>
      <sz val="8"/>
      <color rgb="FFFF0000"/>
      <name val="Arial"/>
      <family val="2"/>
    </font>
    <font>
      <sz val="11"/>
      <color theme="1" tint="0.24994659260841701"/>
      <name val="Calibri"/>
      <family val="2"/>
      <scheme val="minor"/>
    </font>
    <font>
      <b/>
      <i/>
      <sz val="10"/>
      <name val="Tahoma"/>
      <family val="2"/>
    </font>
    <font>
      <b/>
      <sz val="10"/>
      <name val="Arial"/>
      <family val="2"/>
    </font>
    <font>
      <sz val="11"/>
      <color rgb="FF006100"/>
      <name val="Calibri"/>
      <family val="2"/>
      <scheme val="minor"/>
    </font>
    <font>
      <b/>
      <sz val="12"/>
      <color theme="1"/>
      <name val="Tahoma"/>
      <family val="2"/>
    </font>
    <font>
      <b/>
      <i/>
      <u/>
      <sz val="12"/>
      <name val="Tahoma"/>
      <family val="2"/>
    </font>
    <font>
      <b/>
      <i/>
      <sz val="14"/>
      <color theme="1"/>
      <name val="Calibri"/>
      <family val="2"/>
      <scheme val="minor"/>
    </font>
    <font>
      <b/>
      <sz val="11"/>
      <color rgb="FFFF0000"/>
      <name val="Calibri"/>
      <family val="2"/>
      <scheme val="minor"/>
    </font>
    <font>
      <b/>
      <sz val="7"/>
      <color theme="1"/>
      <name val="Times New Roman"/>
      <family val="1"/>
    </font>
    <font>
      <sz val="7"/>
      <color theme="1"/>
      <name val="Times New Roman"/>
      <family val="1"/>
    </font>
    <font>
      <sz val="11"/>
      <color theme="1"/>
      <name val="Times New Roman"/>
      <family val="1"/>
    </font>
    <font>
      <sz val="11"/>
      <color theme="1"/>
      <name val="Calibri "/>
    </font>
    <font>
      <b/>
      <sz val="11"/>
      <color theme="1"/>
      <name val="Calibri Light"/>
      <family val="2"/>
      <scheme val="major"/>
    </font>
    <font>
      <b/>
      <sz val="15"/>
      <color rgb="FFFF0000"/>
      <name val="Calibri"/>
      <family val="2"/>
      <scheme val="minor"/>
    </font>
    <font>
      <sz val="11"/>
      <color rgb="FFFF0000"/>
      <name val="Calibri"/>
      <family val="2"/>
      <scheme val="minor"/>
    </font>
    <font>
      <sz val="10"/>
      <name val="Times New Roman"/>
      <family val="1"/>
    </font>
    <font>
      <b/>
      <sz val="11"/>
      <name val="Calibri"/>
      <family val="2"/>
      <scheme val="minor"/>
    </font>
    <font>
      <b/>
      <sz val="12"/>
      <color theme="1"/>
      <name val="Calibri"/>
      <family val="2"/>
      <scheme val="minor"/>
    </font>
    <font>
      <u/>
      <sz val="10"/>
      <name val="Times New Roman"/>
      <family val="1"/>
    </font>
    <font>
      <sz val="11"/>
      <name val="Calibri"/>
      <family val="2"/>
      <scheme val="minor"/>
    </font>
    <font>
      <b/>
      <i/>
      <sz val="11"/>
      <color theme="1"/>
      <name val="Calibri"/>
      <scheme val="minor"/>
    </font>
    <font>
      <sz val="8"/>
      <color theme="1"/>
      <name val="Times New Roman"/>
      <family val="1"/>
    </font>
    <font>
      <sz val="11"/>
      <color theme="1"/>
      <name val="Palatino Linotype"/>
      <family val="1"/>
    </font>
  </fonts>
  <fills count="2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378D91"/>
        <bgColor indexed="64"/>
      </patternFill>
    </fill>
    <fill>
      <patternFill patternType="solid">
        <fgColor rgb="FFFFC000"/>
        <bgColor indexed="64"/>
      </patternFill>
    </fill>
  </fills>
  <borders count="32">
    <border>
      <left/>
      <right/>
      <top/>
      <bottom/>
      <diagonal/>
    </border>
    <border>
      <left/>
      <right/>
      <top style="thin">
        <color indexed="64"/>
      </top>
      <bottom style="thin">
        <color indexed="64"/>
      </bottom>
      <diagonal/>
    </border>
    <border>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1"/>
      </top>
      <bottom style="thin">
        <color theme="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13">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9" fillId="0" borderId="13" applyNumberFormat="0" applyFill="0" applyAlignment="0" applyProtection="0"/>
    <xf numFmtId="0" fontId="10" fillId="4" borderId="14" applyNumberFormat="0" applyAlignment="0" applyProtection="0"/>
    <xf numFmtId="0" fontId="5" fillId="6" borderId="0" applyNumberFormat="0" applyBorder="0" applyAlignment="0" applyProtection="0"/>
    <xf numFmtId="165" fontId="21" fillId="9" borderId="0" applyFont="0" applyFill="0" applyBorder="0" applyAlignment="0" applyProtection="0"/>
    <xf numFmtId="0" fontId="21" fillId="5" borderId="0" applyNumberFormat="0" applyFont="0" applyAlignment="0">
      <alignment horizontal="center" vertical="center" wrapText="1"/>
    </xf>
    <xf numFmtId="1" fontId="21" fillId="5" borderId="0" applyFont="0" applyFill="0" applyBorder="0" applyAlignment="0"/>
    <xf numFmtId="14" fontId="21" fillId="0" borderId="0" applyFont="0" applyFill="0" applyBorder="0" applyAlignment="0"/>
    <xf numFmtId="0" fontId="24" fillId="10" borderId="0" applyNumberFormat="0" applyBorder="0" applyAlignment="0" applyProtection="0"/>
    <xf numFmtId="43" fontId="36" fillId="0" borderId="0" applyFont="0" applyFill="0" applyBorder="0" applyAlignment="0" applyProtection="0"/>
  </cellStyleXfs>
  <cellXfs count="238">
    <xf numFmtId="0" fontId="0" fillId="0" borderId="0" xfId="0"/>
    <xf numFmtId="0" fontId="0" fillId="0" borderId="0" xfId="0" applyAlignment="1">
      <alignment horizontal="center"/>
    </xf>
    <xf numFmtId="0" fontId="7" fillId="0" borderId="0" xfId="0" applyFont="1" applyAlignment="1">
      <alignment horizontal="center"/>
    </xf>
    <xf numFmtId="0" fontId="8" fillId="0" borderId="0" xfId="0" applyFont="1" applyAlignment="1">
      <alignment horizontal="center"/>
    </xf>
    <xf numFmtId="0" fontId="7" fillId="0" borderId="0" xfId="0" quotePrefix="1" applyFont="1" applyAlignment="1">
      <alignment horizontal="center"/>
    </xf>
    <xf numFmtId="0" fontId="7" fillId="2" borderId="0" xfId="0" applyFont="1" applyFill="1" applyAlignment="1">
      <alignment horizontal="center" wrapText="1"/>
    </xf>
    <xf numFmtId="0" fontId="7" fillId="3" borderId="0" xfId="0" applyFont="1" applyFill="1" applyAlignment="1">
      <alignment horizontal="center" wrapText="1"/>
    </xf>
    <xf numFmtId="0" fontId="8" fillId="0" borderId="0" xfId="0" applyFont="1"/>
    <xf numFmtId="44" fontId="7" fillId="0" borderId="0" xfId="2" applyFont="1" applyAlignment="1">
      <alignment horizontal="center"/>
    </xf>
    <xf numFmtId="44" fontId="5" fillId="0" borderId="0" xfId="2" applyFont="1"/>
    <xf numFmtId="0" fontId="7" fillId="0" borderId="0" xfId="0" applyFont="1" applyAlignment="1">
      <alignment horizontal="center" wrapText="1"/>
    </xf>
    <xf numFmtId="44" fontId="7" fillId="0" borderId="0" xfId="2" applyFont="1" applyAlignment="1">
      <alignment horizontal="center" wrapText="1"/>
    </xf>
    <xf numFmtId="0" fontId="0" fillId="0" borderId="0" xfId="0" applyAlignment="1">
      <alignment horizontal="center" wrapText="1"/>
    </xf>
    <xf numFmtId="14" fontId="7" fillId="0" borderId="0" xfId="0" applyNumberFormat="1" applyFont="1" applyAlignment="1">
      <alignment horizontal="center" wrapText="1"/>
    </xf>
    <xf numFmtId="14" fontId="0" fillId="0" borderId="0" xfId="0" applyNumberFormat="1"/>
    <xf numFmtId="0" fontId="6" fillId="0" borderId="0" xfId="0" applyFont="1"/>
    <xf numFmtId="0" fontId="0" fillId="0" borderId="0" xfId="0" applyAlignment="1">
      <alignment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44" fontId="6" fillId="2" borderId="6" xfId="2" applyFont="1" applyFill="1" applyBorder="1" applyAlignment="1">
      <alignment horizontal="center"/>
    </xf>
    <xf numFmtId="8" fontId="0" fillId="0" borderId="7" xfId="0" applyNumberFormat="1" applyBorder="1"/>
    <xf numFmtId="0" fontId="0" fillId="0" borderId="8" xfId="0" applyBorder="1"/>
    <xf numFmtId="0" fontId="0" fillId="0" borderId="9" xfId="0" applyBorder="1" applyAlignment="1">
      <alignment horizontal="left"/>
    </xf>
    <xf numFmtId="0" fontId="0" fillId="0" borderId="10" xfId="0" applyBorder="1"/>
    <xf numFmtId="0" fontId="0" fillId="0" borderId="9" xfId="0" applyBorder="1" applyAlignment="1">
      <alignment horizontal="center"/>
    </xf>
    <xf numFmtId="0" fontId="0" fillId="0" borderId="11" xfId="0" applyBorder="1" applyAlignment="1">
      <alignment horizontal="center"/>
    </xf>
    <xf numFmtId="44" fontId="5" fillId="0" borderId="12" xfId="2" applyFont="1" applyBorder="1"/>
    <xf numFmtId="0" fontId="6" fillId="0" borderId="0" xfId="0" applyFont="1" applyAlignment="1">
      <alignment wrapText="1"/>
    </xf>
    <xf numFmtId="0" fontId="11" fillId="7" borderId="0" xfId="0" applyFont="1" applyFill="1"/>
    <xf numFmtId="0" fontId="0" fillId="7" borderId="0" xfId="0" applyFill="1"/>
    <xf numFmtId="0" fontId="14" fillId="7" borderId="15" xfId="0" applyFont="1" applyFill="1" applyBorder="1" applyAlignment="1">
      <alignment horizontal="center" wrapText="1"/>
    </xf>
    <xf numFmtId="0" fontId="14" fillId="7" borderId="15" xfId="0" applyFont="1" applyFill="1" applyBorder="1" applyAlignment="1">
      <alignment horizontal="center" vertical="center" wrapText="1"/>
    </xf>
    <xf numFmtId="0" fontId="14" fillId="7" borderId="18" xfId="0" applyFont="1" applyFill="1" applyBorder="1" applyAlignment="1">
      <alignment horizontal="center" wrapText="1"/>
    </xf>
    <xf numFmtId="0" fontId="16" fillId="7" borderId="18" xfId="0" applyFont="1" applyFill="1" applyBorder="1" applyAlignment="1">
      <alignment horizontal="center" wrapText="1"/>
    </xf>
    <xf numFmtId="0" fontId="11" fillId="0" borderId="0" xfId="0" applyFont="1" applyAlignment="1">
      <alignment horizontal="left"/>
    </xf>
    <xf numFmtId="42" fontId="18" fillId="8" borderId="0" xfId="2" applyNumberFormat="1" applyFont="1" applyFill="1"/>
    <xf numFmtId="42" fontId="11" fillId="7" borderId="0" xfId="0" applyNumberFormat="1" applyFont="1" applyFill="1"/>
    <xf numFmtId="0" fontId="11" fillId="7" borderId="0" xfId="0" applyFont="1" applyFill="1" applyAlignment="1">
      <alignment horizontal="left"/>
    </xf>
    <xf numFmtId="0" fontId="12" fillId="7" borderId="0" xfId="0" applyFont="1" applyFill="1" applyAlignment="1">
      <alignment horizontal="center"/>
    </xf>
    <xf numFmtId="0" fontId="11" fillId="7" borderId="2" xfId="0" applyFont="1" applyFill="1" applyBorder="1" applyAlignment="1">
      <alignment horizontal="left"/>
    </xf>
    <xf numFmtId="0" fontId="20" fillId="7" borderId="0" xfId="0" applyFont="1" applyFill="1" applyAlignment="1">
      <alignment horizontal="center"/>
    </xf>
    <xf numFmtId="0" fontId="19" fillId="7" borderId="0" xfId="0" applyFont="1" applyFill="1" applyAlignment="1">
      <alignment horizontal="center"/>
    </xf>
    <xf numFmtId="42" fontId="11" fillId="7" borderId="0" xfId="2" applyNumberFormat="1" applyFont="1" applyFill="1"/>
    <xf numFmtId="41" fontId="11" fillId="7" borderId="0" xfId="2" applyNumberFormat="1" applyFont="1" applyFill="1"/>
    <xf numFmtId="0" fontId="22" fillId="7" borderId="0" xfId="0" applyFont="1" applyFill="1" applyAlignment="1">
      <alignment horizontal="center"/>
    </xf>
    <xf numFmtId="0" fontId="11" fillId="7" borderId="0" xfId="0" applyFont="1" applyFill="1" applyAlignment="1">
      <alignment horizontal="center" vertical="center" wrapText="1"/>
    </xf>
    <xf numFmtId="0" fontId="0" fillId="0" borderId="0" xfId="0" applyAlignment="1">
      <alignment horizontal="center" vertical="center" wrapText="1"/>
    </xf>
    <xf numFmtId="44" fontId="0" fillId="0" borderId="10" xfId="2" applyFont="1" applyBorder="1"/>
    <xf numFmtId="0" fontId="0" fillId="7" borderId="0" xfId="0" applyFill="1" applyAlignment="1">
      <alignment wrapText="1"/>
    </xf>
    <xf numFmtId="0" fontId="0" fillId="0" borderId="20" xfId="0" applyBorder="1"/>
    <xf numFmtId="0" fontId="11" fillId="7" borderId="16" xfId="0" applyFont="1" applyFill="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14" fontId="6" fillId="11" borderId="0" xfId="11" applyNumberFormat="1" applyFont="1" applyFill="1" applyAlignment="1">
      <alignment horizontal="center"/>
    </xf>
    <xf numFmtId="43" fontId="25" fillId="11" borderId="0" xfId="1" applyFont="1" applyFill="1" applyAlignment="1">
      <alignment horizontal="center"/>
    </xf>
    <xf numFmtId="0" fontId="6" fillId="0" borderId="18" xfId="0" applyFont="1" applyBorder="1"/>
    <xf numFmtId="0" fontId="12" fillId="0" borderId="9" xfId="0" applyFont="1" applyBorder="1" applyAlignment="1">
      <alignment horizontal="left"/>
    </xf>
    <xf numFmtId="0" fontId="14" fillId="0" borderId="11" xfId="0" applyFont="1" applyBorder="1" applyAlignment="1">
      <alignment horizontal="center" wrapText="1"/>
    </xf>
    <xf numFmtId="164" fontId="11" fillId="0" borderId="0" xfId="0" applyNumberFormat="1" applyFont="1" applyAlignment="1">
      <alignment horizontal="left"/>
    </xf>
    <xf numFmtId="0" fontId="9" fillId="0" borderId="0" xfId="4" applyFill="1" applyBorder="1" applyAlignment="1">
      <alignment vertical="center"/>
    </xf>
    <xf numFmtId="0" fontId="19" fillId="7" borderId="0" xfId="0" quotePrefix="1" applyFont="1" applyFill="1" applyAlignment="1">
      <alignment horizontal="center"/>
    </xf>
    <xf numFmtId="43" fontId="25" fillId="12" borderId="0" xfId="1" applyFont="1" applyFill="1" applyAlignment="1">
      <alignment horizontal="center"/>
    </xf>
    <xf numFmtId="10" fontId="0" fillId="12" borderId="0" xfId="3" applyNumberFormat="1" applyFont="1" applyFill="1" applyAlignment="1">
      <alignment horizontal="center" vertical="center"/>
    </xf>
    <xf numFmtId="0" fontId="26" fillId="7" borderId="0" xfId="0" applyFont="1" applyFill="1"/>
    <xf numFmtId="0" fontId="6" fillId="0" borderId="0" xfId="0" applyFont="1" applyAlignment="1">
      <alignment horizontal="left"/>
    </xf>
    <xf numFmtId="0" fontId="12" fillId="7" borderId="0" xfId="0" applyFont="1" applyFill="1" applyAlignment="1">
      <alignment horizontal="center" vertical="center" wrapText="1"/>
    </xf>
    <xf numFmtId="0" fontId="0" fillId="2" borderId="0" xfId="0" applyFill="1"/>
    <xf numFmtId="0" fontId="11" fillId="2" borderId="0" xfId="0" applyFont="1" applyFill="1"/>
    <xf numFmtId="0" fontId="0" fillId="0" borderId="0" xfId="0" applyProtection="1">
      <protection locked="0"/>
    </xf>
    <xf numFmtId="14" fontId="0" fillId="0" borderId="0" xfId="0" applyNumberFormat="1" applyProtection="1">
      <protection locked="0"/>
    </xf>
    <xf numFmtId="44" fontId="5" fillId="0" borderId="0" xfId="2" applyFont="1" applyProtection="1">
      <protection locked="0"/>
    </xf>
    <xf numFmtId="8" fontId="0" fillId="0" borderId="0" xfId="0" applyNumberFormat="1" applyProtection="1">
      <protection locked="0"/>
    </xf>
    <xf numFmtId="44" fontId="0" fillId="0" borderId="0" xfId="2" applyFont="1" applyProtection="1">
      <protection locked="0"/>
    </xf>
    <xf numFmtId="0" fontId="0" fillId="0" borderId="0" xfId="0" applyAlignment="1" applyProtection="1">
      <alignment wrapText="1"/>
      <protection locked="0"/>
    </xf>
    <xf numFmtId="8" fontId="0" fillId="0" borderId="0" xfId="0" applyNumberFormat="1" applyAlignment="1">
      <alignment horizontal="center"/>
    </xf>
    <xf numFmtId="8" fontId="0" fillId="0" borderId="0" xfId="0" applyNumberFormat="1"/>
    <xf numFmtId="14" fontId="11" fillId="7" borderId="0" xfId="0" applyNumberFormat="1" applyFont="1" applyFill="1" applyAlignment="1" applyProtection="1">
      <alignment horizontal="left"/>
      <protection locked="0"/>
    </xf>
    <xf numFmtId="42" fontId="5" fillId="6" borderId="0" xfId="6" applyNumberFormat="1" applyProtection="1">
      <protection locked="0"/>
    </xf>
    <xf numFmtId="0" fontId="0" fillId="0" borderId="0" xfId="0" applyAlignment="1">
      <alignment horizontal="left" wrapText="1" indent="4"/>
    </xf>
    <xf numFmtId="43" fontId="0" fillId="0" borderId="0" xfId="1" applyFont="1"/>
    <xf numFmtId="0" fontId="7" fillId="0" borderId="0" xfId="0" applyFont="1" applyAlignment="1">
      <alignment horizontal="right"/>
    </xf>
    <xf numFmtId="0" fontId="28" fillId="0" borderId="0" xfId="0" applyFont="1"/>
    <xf numFmtId="0" fontId="0" fillId="15" borderId="0" xfId="0" applyFill="1" applyProtection="1">
      <protection locked="0"/>
    </xf>
    <xf numFmtId="0" fontId="6" fillId="0" borderId="0" xfId="0" applyFont="1" applyProtection="1">
      <protection locked="0"/>
    </xf>
    <xf numFmtId="43" fontId="6" fillId="0" borderId="26" xfId="0" applyNumberFormat="1" applyFont="1" applyBorder="1" applyProtection="1">
      <protection locked="0"/>
    </xf>
    <xf numFmtId="14" fontId="0" fillId="0" borderId="25" xfId="0" applyNumberFormat="1" applyBorder="1" applyAlignment="1">
      <alignment horizontal="center"/>
    </xf>
    <xf numFmtId="0" fontId="7" fillId="0" borderId="0" xfId="0" applyFont="1"/>
    <xf numFmtId="0" fontId="6" fillId="14" borderId="2" xfId="0" applyFont="1" applyFill="1" applyBorder="1"/>
    <xf numFmtId="14" fontId="0" fillId="15" borderId="0" xfId="0" applyNumberFormat="1" applyFill="1"/>
    <xf numFmtId="0" fontId="0" fillId="15" borderId="0" xfId="0" applyFill="1"/>
    <xf numFmtId="43" fontId="0" fillId="0" borderId="0" xfId="1" applyFont="1" applyProtection="1"/>
    <xf numFmtId="0" fontId="0" fillId="16" borderId="0" xfId="0" applyFill="1"/>
    <xf numFmtId="43" fontId="0" fillId="16" borderId="0" xfId="1" applyFont="1" applyFill="1" applyProtection="1"/>
    <xf numFmtId="14" fontId="7" fillId="0" borderId="21" xfId="0" applyNumberFormat="1" applyFont="1" applyBorder="1" applyAlignment="1" applyProtection="1">
      <alignment horizontal="center"/>
      <protection locked="0"/>
    </xf>
    <xf numFmtId="14" fontId="7" fillId="0" borderId="22" xfId="0" applyNumberFormat="1" applyFont="1" applyBorder="1" applyAlignment="1" applyProtection="1">
      <alignment horizontal="center"/>
      <protection locked="0"/>
    </xf>
    <xf numFmtId="0" fontId="0" fillId="0" borderId="0" xfId="0" applyAlignment="1">
      <alignment vertical="center"/>
    </xf>
    <xf numFmtId="0" fontId="6" fillId="0" borderId="0" xfId="0" applyFont="1" applyAlignment="1">
      <alignment horizontal="left" vertical="center" indent="5"/>
    </xf>
    <xf numFmtId="0" fontId="6" fillId="0" borderId="0" xfId="0" applyFont="1" applyAlignment="1">
      <alignment horizontal="left" vertical="center" indent="10"/>
    </xf>
    <xf numFmtId="0" fontId="0" fillId="0" borderId="0" xfId="0" applyAlignment="1">
      <alignment horizontal="left" vertical="center" indent="5"/>
    </xf>
    <xf numFmtId="0" fontId="0" fillId="0" borderId="0" xfId="0" applyAlignment="1">
      <alignment horizontal="left" vertical="center" indent="10"/>
    </xf>
    <xf numFmtId="0" fontId="30" fillId="0" borderId="0" xfId="0" applyFont="1" applyAlignment="1">
      <alignment horizontal="left" vertical="center" indent="15"/>
    </xf>
    <xf numFmtId="0" fontId="6" fillId="0" borderId="0" xfId="0" applyFont="1" applyAlignment="1">
      <alignment horizontal="left" vertical="center" indent="2"/>
    </xf>
    <xf numFmtId="0" fontId="6" fillId="0" borderId="0" xfId="0" applyFont="1" applyAlignment="1">
      <alignment horizontal="left" vertical="center" indent="8"/>
    </xf>
    <xf numFmtId="0" fontId="34" fillId="0" borderId="0" xfId="0" applyFont="1"/>
    <xf numFmtId="0" fontId="7" fillId="0" borderId="27" xfId="0" applyFont="1" applyBorder="1" applyAlignment="1">
      <alignment horizontal="center"/>
    </xf>
    <xf numFmtId="44" fontId="0" fillId="0" borderId="0" xfId="2" applyFont="1" applyAlignment="1" applyProtection="1">
      <alignment wrapText="1"/>
      <protection locked="0"/>
    </xf>
    <xf numFmtId="0" fontId="1" fillId="0" borderId="0" xfId="0" applyFont="1"/>
    <xf numFmtId="166" fontId="1" fillId="0" borderId="0" xfId="0" applyNumberFormat="1" applyFont="1" applyAlignment="1">
      <alignment horizontal="left"/>
    </xf>
    <xf numFmtId="42" fontId="0" fillId="0" borderId="0" xfId="0" applyNumberFormat="1"/>
    <xf numFmtId="167" fontId="0" fillId="0" borderId="0" xfId="1" applyNumberFormat="1" applyFont="1"/>
    <xf numFmtId="167" fontId="0" fillId="0" borderId="0" xfId="1" applyNumberFormat="1" applyFont="1" applyFill="1"/>
    <xf numFmtId="43" fontId="0" fillId="0" borderId="0" xfId="0" applyNumberFormat="1"/>
    <xf numFmtId="14" fontId="35" fillId="0" borderId="0" xfId="0" applyNumberFormat="1" applyFont="1"/>
    <xf numFmtId="167" fontId="0" fillId="0" borderId="26" xfId="1" applyNumberFormat="1" applyFont="1" applyBorder="1"/>
    <xf numFmtId="167" fontId="0" fillId="0" borderId="0" xfId="0" applyNumberFormat="1"/>
    <xf numFmtId="0" fontId="7" fillId="0" borderId="2" xfId="0" applyFont="1" applyBorder="1"/>
    <xf numFmtId="0" fontId="7" fillId="0" borderId="2" xfId="0" applyFont="1" applyBorder="1" applyAlignment="1">
      <alignment horizontal="center"/>
    </xf>
    <xf numFmtId="10" fontId="7" fillId="0" borderId="0" xfId="3" applyNumberFormat="1" applyFont="1" applyAlignment="1">
      <alignment horizontal="center"/>
    </xf>
    <xf numFmtId="10" fontId="5" fillId="0" borderId="0" xfId="3" applyNumberFormat="1" applyFont="1" applyProtection="1">
      <protection locked="0"/>
    </xf>
    <xf numFmtId="10" fontId="0" fillId="0" borderId="0" xfId="3" applyNumberFormat="1" applyFont="1" applyProtection="1">
      <protection locked="0"/>
    </xf>
    <xf numFmtId="10" fontId="5" fillId="0" borderId="0" xfId="3" applyNumberFormat="1" applyFont="1"/>
    <xf numFmtId="0" fontId="7" fillId="18" borderId="0" xfId="0" applyFont="1" applyFill="1" applyAlignment="1">
      <alignment horizontal="center" wrapText="1"/>
    </xf>
    <xf numFmtId="0" fontId="7" fillId="14" borderId="0" xfId="0" applyFont="1" applyFill="1" applyAlignment="1">
      <alignment horizontal="center"/>
    </xf>
    <xf numFmtId="3" fontId="0" fillId="0" borderId="0" xfId="0" applyNumberFormat="1"/>
    <xf numFmtId="0" fontId="38" fillId="19" borderId="0" xfId="0" applyFont="1" applyFill="1" applyAlignment="1">
      <alignment horizontal="left"/>
    </xf>
    <xf numFmtId="0" fontId="0" fillId="19" borderId="0" xfId="0" applyFill="1"/>
    <xf numFmtId="168" fontId="0" fillId="0" borderId="0" xfId="0" applyNumberFormat="1"/>
    <xf numFmtId="0" fontId="39" fillId="0" borderId="0" xfId="0" applyFont="1"/>
    <xf numFmtId="0" fontId="0" fillId="0" borderId="0" xfId="0" applyAlignment="1">
      <alignment horizontal="left" wrapText="1"/>
    </xf>
    <xf numFmtId="0" fontId="0" fillId="0" borderId="0" xfId="0" applyAlignment="1">
      <alignment horizontal="right" wrapText="1"/>
    </xf>
    <xf numFmtId="168" fontId="0" fillId="0" borderId="28" xfId="0" applyNumberFormat="1" applyBorder="1" applyAlignment="1">
      <alignment horizontal="right" wrapText="1"/>
    </xf>
    <xf numFmtId="168" fontId="0" fillId="0" borderId="0" xfId="0" applyNumberFormat="1" applyAlignment="1">
      <alignment horizontal="right" wrapText="1"/>
    </xf>
    <xf numFmtId="14" fontId="0" fillId="0" borderId="29" xfId="0" applyNumberFormat="1" applyBorder="1" applyAlignment="1">
      <alignment horizontal="left"/>
    </xf>
    <xf numFmtId="49" fontId="0" fillId="0" borderId="30" xfId="0" applyNumberFormat="1" applyBorder="1" applyAlignment="1">
      <alignment horizontal="left"/>
    </xf>
    <xf numFmtId="167" fontId="40" fillId="0" borderId="30" xfId="12" applyNumberFormat="1" applyFont="1" applyBorder="1"/>
    <xf numFmtId="43" fontId="40" fillId="0" borderId="30" xfId="12" applyFont="1" applyBorder="1"/>
    <xf numFmtId="168" fontId="40" fillId="0" borderId="30" xfId="12" applyNumberFormat="1" applyFont="1" applyBorder="1"/>
    <xf numFmtId="168" fontId="40" fillId="0" borderId="0" xfId="12" applyNumberFormat="1" applyFont="1" applyBorder="1"/>
    <xf numFmtId="167" fontId="40" fillId="0" borderId="0" xfId="12" applyNumberFormat="1" applyFont="1" applyBorder="1"/>
    <xf numFmtId="167" fontId="40" fillId="0" borderId="30" xfId="12" applyNumberFormat="1" applyFont="1" applyFill="1" applyBorder="1"/>
    <xf numFmtId="14" fontId="0" fillId="0" borderId="31" xfId="0" applyNumberFormat="1" applyBorder="1" applyAlignment="1">
      <alignment horizontal="left"/>
    </xf>
    <xf numFmtId="49" fontId="0" fillId="0" borderId="0" xfId="0" applyNumberFormat="1" applyAlignment="1">
      <alignment horizontal="left"/>
    </xf>
    <xf numFmtId="167" fontId="40" fillId="0" borderId="0" xfId="12" applyNumberFormat="1" applyFont="1" applyFill="1" applyBorder="1"/>
    <xf numFmtId="43" fontId="40" fillId="0" borderId="0" xfId="12" applyFont="1" applyBorder="1"/>
    <xf numFmtId="0" fontId="0" fillId="0" borderId="31" xfId="0" applyBorder="1"/>
    <xf numFmtId="0" fontId="0" fillId="0" borderId="21" xfId="0" applyBorder="1"/>
    <xf numFmtId="167" fontId="40" fillId="0" borderId="28" xfId="12" applyNumberFormat="1" applyFont="1" applyBorder="1"/>
    <xf numFmtId="167" fontId="40" fillId="0" borderId="28" xfId="12" applyNumberFormat="1" applyFont="1" applyFill="1" applyBorder="1"/>
    <xf numFmtId="0" fontId="41" fillId="0" borderId="0" xfId="0" applyFont="1" applyAlignment="1">
      <alignment horizontal="center" wrapText="1"/>
    </xf>
    <xf numFmtId="0" fontId="0" fillId="0" borderId="0" xfId="0" applyAlignment="1" applyProtection="1">
      <alignment vertical="center"/>
      <protection locked="0"/>
    </xf>
    <xf numFmtId="0" fontId="6" fillId="0" borderId="0" xfId="0" applyFont="1" applyAlignment="1">
      <alignment horizontal="center"/>
    </xf>
    <xf numFmtId="0" fontId="35" fillId="0" borderId="0" xfId="0" applyFont="1"/>
    <xf numFmtId="43" fontId="0" fillId="0" borderId="0" xfId="1" applyFont="1" applyFill="1" applyBorder="1"/>
    <xf numFmtId="41" fontId="0" fillId="0" borderId="0" xfId="0" applyNumberFormat="1"/>
    <xf numFmtId="0" fontId="37" fillId="0" borderId="0" xfId="0" applyFont="1"/>
    <xf numFmtId="0" fontId="31" fillId="0" borderId="0" xfId="0" applyFont="1"/>
    <xf numFmtId="0" fontId="31" fillId="0" borderId="0" xfId="0" applyFont="1" applyAlignment="1">
      <alignment horizontal="center"/>
    </xf>
    <xf numFmtId="166" fontId="31" fillId="0" borderId="2" xfId="0" applyNumberFormat="1" applyFont="1" applyBorder="1" applyAlignment="1">
      <alignment horizontal="center"/>
    </xf>
    <xf numFmtId="166" fontId="31" fillId="0" borderId="0" xfId="0" applyNumberFormat="1" applyFont="1" applyAlignment="1">
      <alignment horizontal="center"/>
    </xf>
    <xf numFmtId="0" fontId="31" fillId="0" borderId="2" xfId="0" applyFont="1" applyBorder="1"/>
    <xf numFmtId="0" fontId="31" fillId="0" borderId="0" xfId="0" applyFont="1" applyAlignment="1">
      <alignment horizontal="left" indent="1"/>
    </xf>
    <xf numFmtId="169" fontId="31" fillId="0" borderId="0" xfId="2" applyNumberFormat="1" applyFont="1"/>
    <xf numFmtId="169" fontId="31" fillId="0" borderId="0" xfId="2" applyNumberFormat="1" applyFont="1" applyBorder="1"/>
    <xf numFmtId="167" fontId="31" fillId="0" borderId="0" xfId="1" applyNumberFormat="1" applyFont="1"/>
    <xf numFmtId="167" fontId="31" fillId="0" borderId="0" xfId="1" applyNumberFormat="1" applyFont="1" applyFill="1"/>
    <xf numFmtId="167" fontId="42" fillId="0" borderId="0" xfId="1" applyNumberFormat="1" applyFont="1" applyBorder="1"/>
    <xf numFmtId="167" fontId="31" fillId="0" borderId="1" xfId="1" applyNumberFormat="1" applyFont="1" applyBorder="1"/>
    <xf numFmtId="167" fontId="31" fillId="0" borderId="0" xfId="1" applyNumberFormat="1" applyFont="1" applyBorder="1"/>
    <xf numFmtId="167" fontId="31" fillId="0" borderId="1" xfId="1" applyNumberFormat="1" applyFont="1" applyFill="1" applyBorder="1"/>
    <xf numFmtId="169" fontId="0" fillId="0" borderId="0" xfId="2" applyNumberFormat="1" applyFont="1"/>
    <xf numFmtId="167" fontId="31" fillId="0" borderId="19" xfId="1" applyNumberFormat="1" applyFont="1" applyBorder="1"/>
    <xf numFmtId="167" fontId="31" fillId="0" borderId="19" xfId="1" applyNumberFormat="1" applyFont="1" applyFill="1" applyBorder="1"/>
    <xf numFmtId="167" fontId="31" fillId="0" borderId="0" xfId="1" applyNumberFormat="1" applyFont="1" applyFill="1" applyBorder="1"/>
    <xf numFmtId="169" fontId="31" fillId="0" borderId="26" xfId="2" applyNumberFormat="1" applyFont="1" applyBorder="1"/>
    <xf numFmtId="169" fontId="31" fillId="0" borderId="0" xfId="2" applyNumberFormat="1" applyFont="1" applyFill="1" applyBorder="1"/>
    <xf numFmtId="0" fontId="43" fillId="0" borderId="2" xfId="0" applyFont="1" applyBorder="1" applyAlignment="1">
      <alignment horizontal="center"/>
    </xf>
    <xf numFmtId="0" fontId="43" fillId="0" borderId="0" xfId="0" applyFont="1" applyAlignment="1">
      <alignment horizontal="center"/>
    </xf>
    <xf numFmtId="0" fontId="43" fillId="0" borderId="0" xfId="0" applyFont="1"/>
    <xf numFmtId="169" fontId="43" fillId="0" borderId="0" xfId="2" applyNumberFormat="1" applyFont="1"/>
    <xf numFmtId="167" fontId="43" fillId="0" borderId="0" xfId="1" applyNumberFormat="1" applyFont="1"/>
    <xf numFmtId="169" fontId="43" fillId="0" borderId="0" xfId="0" applyNumberFormat="1" applyFont="1"/>
    <xf numFmtId="169" fontId="43" fillId="0" borderId="26" xfId="0" applyNumberFormat="1" applyFont="1" applyBorder="1"/>
    <xf numFmtId="167" fontId="43" fillId="0" borderId="26" xfId="0" applyNumberFormat="1" applyFont="1" applyBorder="1"/>
    <xf numFmtId="44" fontId="0" fillId="0" borderId="0" xfId="2" applyFont="1"/>
    <xf numFmtId="0" fontId="0" fillId="0" borderId="9" xfId="0" applyBorder="1" applyAlignment="1">
      <alignment horizontal="left" wrapText="1"/>
    </xf>
    <xf numFmtId="0" fontId="0" fillId="0" borderId="0" xfId="0" applyAlignment="1">
      <alignment horizontal="left" wrapText="1"/>
    </xf>
    <xf numFmtId="0" fontId="27" fillId="13" borderId="23" xfId="0" applyFont="1" applyFill="1" applyBorder="1" applyAlignment="1">
      <alignment horizontal="center"/>
    </xf>
    <xf numFmtId="0" fontId="27" fillId="13" borderId="24" xfId="0" applyFont="1" applyFill="1" applyBorder="1" applyAlignment="1">
      <alignment horizontal="center"/>
    </xf>
    <xf numFmtId="0" fontId="7" fillId="2" borderId="0" xfId="0" applyFont="1" applyFill="1" applyAlignment="1">
      <alignment horizontal="center"/>
    </xf>
    <xf numFmtId="0" fontId="7" fillId="3" borderId="0" xfId="0" applyFont="1" applyFill="1" applyAlignment="1">
      <alignment horizontal="center" wrapText="1"/>
    </xf>
    <xf numFmtId="0" fontId="7" fillId="0" borderId="0" xfId="0" applyFont="1" applyAlignment="1">
      <alignment horizontal="center"/>
    </xf>
    <xf numFmtId="0" fontId="6" fillId="0" borderId="0" xfId="0" applyFont="1" applyAlignment="1">
      <alignment horizontal="center" wrapText="1"/>
    </xf>
    <xf numFmtId="0" fontId="7" fillId="14" borderId="0" xfId="0" applyFont="1" applyFill="1" applyAlignment="1">
      <alignment horizontal="center"/>
    </xf>
    <xf numFmtId="0" fontId="7" fillId="14" borderId="0" xfId="0" applyFont="1" applyFill="1" applyAlignment="1">
      <alignment horizontal="center" wrapText="1"/>
    </xf>
    <xf numFmtId="0" fontId="7" fillId="14" borderId="2" xfId="0" applyFont="1" applyFill="1" applyBorder="1" applyAlignment="1">
      <alignment horizontal="center" wrapText="1"/>
    </xf>
    <xf numFmtId="14" fontId="0" fillId="16" borderId="0" xfId="0" applyNumberFormat="1" applyFill="1" applyAlignment="1">
      <alignment horizontal="center"/>
    </xf>
    <xf numFmtId="0" fontId="14" fillId="7" borderId="15" xfId="0" applyFont="1" applyFill="1" applyBorder="1" applyAlignment="1">
      <alignment horizontal="center" wrapText="1"/>
    </xf>
    <xf numFmtId="0" fontId="14" fillId="7" borderId="18" xfId="0" applyFont="1" applyFill="1" applyBorder="1" applyAlignment="1">
      <alignment horizontal="center" wrapText="1"/>
    </xf>
    <xf numFmtId="0" fontId="11" fillId="7" borderId="16"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7"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11" fillId="12" borderId="16" xfId="0" applyFont="1" applyFill="1" applyBorder="1" applyAlignment="1">
      <alignment horizontal="center" vertical="center"/>
    </xf>
    <xf numFmtId="0" fontId="0" fillId="12" borderId="1" xfId="0" applyFill="1" applyBorder="1" applyAlignment="1">
      <alignment horizontal="center" vertical="center"/>
    </xf>
    <xf numFmtId="0" fontId="0" fillId="12" borderId="17" xfId="0" applyFill="1" applyBorder="1" applyAlignment="1">
      <alignment horizontal="center" vertical="center"/>
    </xf>
    <xf numFmtId="0" fontId="17" fillId="7" borderId="0" xfId="0" applyFont="1" applyFill="1" applyAlignment="1">
      <alignment wrapText="1"/>
    </xf>
    <xf numFmtId="0" fontId="0" fillId="7" borderId="0" xfId="0" applyFill="1" applyAlignment="1">
      <alignment wrapText="1"/>
    </xf>
    <xf numFmtId="0" fontId="11" fillId="7" borderId="1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17" fillId="7" borderId="0" xfId="0" applyFont="1" applyFill="1" applyAlignment="1">
      <alignment vertical="top" wrapText="1"/>
    </xf>
    <xf numFmtId="0" fontId="0" fillId="7" borderId="0" xfId="0" applyFill="1" applyAlignment="1">
      <alignment vertical="top" wrapText="1"/>
    </xf>
    <xf numFmtId="0" fontId="0" fillId="7" borderId="0" xfId="0" applyFill="1" applyAlignment="1">
      <alignment horizontal="center" vertical="center" wrapText="1"/>
    </xf>
    <xf numFmtId="0" fontId="13" fillId="7" borderId="2" xfId="0" applyFont="1" applyFill="1" applyBorder="1" applyAlignment="1">
      <alignment horizontal="center" wrapText="1"/>
    </xf>
    <xf numFmtId="0" fontId="6" fillId="0" borderId="0" xfId="0" applyFont="1" applyAlignment="1">
      <alignment horizontal="left"/>
    </xf>
    <xf numFmtId="0" fontId="10" fillId="0" borderId="16" xfId="5" applyFill="1" applyBorder="1" applyAlignment="1">
      <alignment horizontal="center"/>
    </xf>
    <xf numFmtId="0" fontId="10" fillId="0" borderId="1" xfId="5" applyFill="1" applyBorder="1" applyAlignment="1">
      <alignment horizontal="center"/>
    </xf>
    <xf numFmtId="0" fontId="10" fillId="0" borderId="17" xfId="5" applyFill="1" applyBorder="1" applyAlignment="1">
      <alignment horizontal="center"/>
    </xf>
    <xf numFmtId="0" fontId="12" fillId="7" borderId="0" xfId="0" applyFont="1" applyFill="1" applyAlignment="1">
      <alignment horizontal="center" vertical="center" wrapText="1"/>
    </xf>
    <xf numFmtId="0" fontId="11" fillId="7" borderId="7"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14" fillId="0" borderId="8" xfId="0" applyFont="1" applyBorder="1" applyAlignment="1">
      <alignment horizontal="center" wrapText="1"/>
    </xf>
    <xf numFmtId="0" fontId="0" fillId="0" borderId="12" xfId="0" applyBorder="1"/>
    <xf numFmtId="0" fontId="0" fillId="0" borderId="18" xfId="0" applyBorder="1"/>
    <xf numFmtId="0" fontId="0" fillId="17" borderId="0" xfId="0" applyFill="1" applyAlignment="1">
      <alignment horizontal="center"/>
    </xf>
    <xf numFmtId="0" fontId="31" fillId="0" borderId="2" xfId="0" applyFont="1" applyBorder="1" applyAlignment="1">
      <alignment horizontal="center"/>
    </xf>
    <xf numFmtId="0" fontId="43" fillId="0" borderId="2" xfId="0" applyFont="1" applyBorder="1" applyAlignment="1">
      <alignment horizontal="center"/>
    </xf>
  </cellXfs>
  <cellStyles count="13">
    <cellStyle name="40% - Accent1" xfId="6" builtinId="31"/>
    <cellStyle name="Amount" xfId="7" xr:uid="{00000000-0005-0000-0000-000001000000}"/>
    <cellStyle name="Comma" xfId="1" builtinId="3"/>
    <cellStyle name="Comma 3" xfId="12" xr:uid="{00000000-0005-0000-0000-000003000000}"/>
    <cellStyle name="Currency" xfId="2" builtinId="4"/>
    <cellStyle name="Date" xfId="10" xr:uid="{00000000-0005-0000-0000-000005000000}"/>
    <cellStyle name="Good" xfId="11" builtinId="26"/>
    <cellStyle name="Heading 3" xfId="4" builtinId="18"/>
    <cellStyle name="Input" xfId="5" builtinId="20"/>
    <cellStyle name="Loan Summary" xfId="8" xr:uid="{00000000-0005-0000-0000-000009000000}"/>
    <cellStyle name="Normal" xfId="0" builtinId="0"/>
    <cellStyle name="Number" xfId="9" xr:uid="{00000000-0005-0000-0000-00000B000000}"/>
    <cellStyle name="Percent" xfId="3" builtinId="5"/>
  </cellStyles>
  <dxfs count="2036">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fill>
        <patternFill>
          <bgColor theme="3" tint="0.79998168889431442"/>
        </patternFill>
      </fill>
    </dxf>
    <dxf>
      <fill>
        <patternFill>
          <bgColor theme="0"/>
        </patternFill>
      </fill>
    </dxf>
    <dxf>
      <protection locked="0" hidden="0"/>
    </dxf>
    <dxf>
      <numFmt numFmtId="12" formatCode="&quot;$&quot;#,##0.00_);[Red]\(&quot;$&quot;#,##0.00\)"/>
      <protection locked="1" hidden="0"/>
    </dxf>
    <dxf>
      <protection locked="0" hidden="0"/>
    </dxf>
    <dxf>
      <font>
        <b val="0"/>
        <i val="0"/>
        <strike val="0"/>
        <condense val="0"/>
        <extend val="0"/>
        <outline val="0"/>
        <shadow val="0"/>
        <u val="none"/>
        <vertAlign val="baseline"/>
        <sz val="11"/>
        <color theme="1"/>
        <name val="Calibri"/>
        <scheme val="minor"/>
      </font>
      <numFmt numFmtId="12" formatCode="&quot;$&quot;#,##0.00_);[Red]\(&quot;$&quot;#,##0.00\)"/>
      <protection locked="1" hidden="0"/>
    </dxf>
    <dxf>
      <font>
        <b val="0"/>
        <i val="0"/>
        <strike val="0"/>
        <condense val="0"/>
        <extend val="0"/>
        <outline val="0"/>
        <shadow val="0"/>
        <u val="none"/>
        <vertAlign val="baseline"/>
        <sz val="11"/>
        <color theme="1"/>
        <name val="Calibri"/>
        <scheme val="minor"/>
      </font>
      <numFmt numFmtId="14" formatCode="0.00%"/>
      <protection locked="0" hidden="0"/>
    </dxf>
    <dxf>
      <protection locked="0" hidden="0"/>
    </dxf>
    <dxf>
      <protection locked="0" hidden="0"/>
    </dxf>
    <dxf>
      <font>
        <b val="0"/>
        <i val="0"/>
        <strike val="0"/>
        <condense val="0"/>
        <extend val="0"/>
        <outline val="0"/>
        <shadow val="0"/>
        <u val="none"/>
        <vertAlign val="baseline"/>
        <sz val="11"/>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protection locked="0" hidden="0"/>
    </dxf>
    <dxf>
      <protection locked="0" hidden="0"/>
    </dxf>
    <dxf>
      <numFmt numFmtId="0" formatCode="General"/>
      <fill>
        <patternFill patternType="none">
          <fgColor indexed="64"/>
          <bgColor auto="1"/>
        </patternFill>
      </fill>
      <protection locked="1" hidden="0"/>
    </dxf>
    <dxf>
      <protection locked="0"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19" formatCode="m/d/yyyy"/>
      <protection locked="0" hidden="0"/>
    </dxf>
    <dxf>
      <protection locked="0" hidden="0"/>
    </dxf>
    <dxf>
      <protection locked="0" hidden="0"/>
    </dxf>
    <dxf>
      <font>
        <b/>
        <i/>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colors>
    <mruColors>
      <color rgb="FF378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Clients\Pioneer%20Library%20System%20-%20Norman\S-SBITA%20Inventory%20PLS%20CP.xlsm" TargetMode="External"/><Relationship Id="rId1" Type="http://schemas.openxmlformats.org/officeDocument/2006/relationships/externalLinkPath" Target="/Clients/Pioneer%20Library%20System%20-%20Norman/S-SBITA%20Inventory%20PLS%20CP.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pembrook\AppData\Local\Microsoft\Windows\INetCache\Content.Outlook\PJNQ6PI0\SK%20comments%208.1.19%20GASB-87%20Lease%20Accounting.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oan%20amortization%20schedul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entory"/>
      <sheetName val="Notes Tab"/>
      <sheetName val="Asset Classes"/>
      <sheetName val="Notes_Instructions - to ws"/>
      <sheetName val="Sum_AmSched"/>
      <sheetName val="Template"/>
      <sheetName val="BegTab"/>
      <sheetName val="24-SimplyAnalytics"/>
      <sheetName val="37-OrangeBoy"/>
      <sheetName val="8.Digital Libraries"/>
      <sheetName val="End Tab"/>
      <sheetName val="SBITA - Capital Assets"/>
      <sheetName val="Journal Entry"/>
      <sheetName val="Capital and LT Rollforward"/>
    </sheetNames>
    <sheetDataSet>
      <sheetData sheetId="0"/>
      <sheetData sheetId="1"/>
      <sheetData sheetId="2"/>
      <sheetData sheetId="3"/>
      <sheetData sheetId="4"/>
      <sheetData sheetId="5">
        <row r="7">
          <cell r="G7" t="e">
            <v>#N/A</v>
          </cell>
        </row>
        <row r="8">
          <cell r="C8" t="str">
            <v>What is the payment frequency? Annual / SemiAnnual / Quarterly / Monthly /Weekly</v>
          </cell>
        </row>
        <row r="9">
          <cell r="G9" t="e">
            <v>#N/A</v>
          </cell>
        </row>
        <row r="12">
          <cell r="G12" t="e">
            <v>#N/A</v>
          </cell>
        </row>
        <row r="13">
          <cell r="G13" t="e">
            <v>#N/A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Exemptions"/>
      <sheetName val="1. Lease Payments Input Sheet"/>
      <sheetName val="2. Lease Input Sheet"/>
      <sheetName val="3. Lease Asset"/>
      <sheetName val="4. Lease Term Determination"/>
      <sheetName val="5. FINANCE Lease Amort Tables"/>
      <sheetName val="6. Multiple Components"/>
      <sheetName val="7. Intra-Entity  Related Entity"/>
      <sheetName val="8. Ownership Transfer"/>
      <sheetName val="9. Regulated Leases"/>
      <sheetName val="10. Remeasurement Factors"/>
      <sheetName val="11. Lessee Disclosures"/>
      <sheetName val="12. Lessor Disclosures"/>
      <sheetName val="Asset Classes"/>
    </sheetNames>
    <sheetDataSet>
      <sheetData sheetId="0"/>
      <sheetData sheetId="1"/>
      <sheetData sheetId="2">
        <row r="7">
          <cell r="A7">
            <v>0</v>
          </cell>
        </row>
      </sheetData>
      <sheetData sheetId="3">
        <row r="26">
          <cell r="F26" t="str">
            <v>No</v>
          </cell>
        </row>
        <row r="32">
          <cell r="F32">
            <v>44197</v>
          </cell>
        </row>
        <row r="47">
          <cell r="F47" t="str">
            <v>No</v>
          </cell>
        </row>
      </sheetData>
      <sheetData sheetId="4">
        <row r="41">
          <cell r="F41">
            <v>88468.475651410234</v>
          </cell>
        </row>
      </sheetData>
      <sheetData sheetId="5"/>
      <sheetData sheetId="6">
        <row r="9">
          <cell r="A9">
            <v>0</v>
          </cell>
        </row>
      </sheetData>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sheetName val="Loan amortization schedule1"/>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AR550" totalsRowShown="0" headerRowDxfId="2035" dataDxfId="2034">
  <autoFilter ref="A3:AR550" xr:uid="{00000000-0009-0000-0100-000003000000}"/>
  <tableColumns count="44">
    <tableColumn id="1" xr3:uid="{00000000-0010-0000-0000-000001000000}" name="Agreement" dataDxfId="2033"/>
    <tableColumn id="46" xr3:uid="{00000000-0010-0000-0000-00002E000000}" name="Agreeement Effective Date" dataDxfId="2032"/>
    <tableColumn id="3" xr3:uid="{00000000-0010-0000-0000-000003000000}" name="Lessee/Lessor" dataDxfId="2031"/>
    <tableColumn id="4" xr3:uid="{00000000-0010-0000-0000-000004000000}" name="Governmental/BTA" dataDxfId="2030"/>
    <tableColumn id="5" xr3:uid="{00000000-0010-0000-0000-000005000000}" name="Underlying Asset Type" dataDxfId="2029"/>
    <tableColumn id="7" xr3:uid="{00000000-0010-0000-0000-000007000000}" name="Control/Right to use (Y/N)" dataDxfId="2028"/>
    <tableColumn id="8" xr3:uid="{00000000-0010-0000-0000-000008000000}" name="Max Lease term greater than 12 months" dataDxfId="2027"/>
    <tableColumn id="10" xr3:uid="{00000000-0010-0000-0000-00000A000000}" name="Lease term perpetual" dataDxfId="2026"/>
    <tableColumn id="2" xr3:uid="{00000000-0010-0000-0000-000002000000}" name="Is there an exchange or exchange-like transaction" dataDxfId="2025"/>
    <tableColumn id="6" xr3:uid="{00000000-0010-0000-0000-000006000000}" name="Does Agreement Transfer Title (without termination options)" dataDxfId="2024"/>
    <tableColumn id="9" xr3:uid="{00000000-0010-0000-0000-000009000000}" name="Lease Determination" dataDxfId="2023">
      <calculatedColumnFormula>+IF(AND(F4="yes",G4="yes", H4="no",E4&lt;&gt;"Intangible Asset",E4&lt;&gt;"Service",I4 ="yes", E4&lt;&gt;"Investment", E4&lt;&gt;"Inventory",J4&lt;&gt;"Yes",E4&lt;&gt;""),"Lease","Not a Lease")</calculatedColumnFormula>
    </tableColumn>
    <tableColumn id="11" xr3:uid="{00000000-0010-0000-0000-00000B000000}" name="Agreement Term" dataDxfId="2022"/>
    <tableColumn id="15" xr3:uid="{00000000-0010-0000-0000-00000F000000}" name="Termination Option" dataDxfId="2021"/>
    <tableColumn id="16" xr3:uid="{00000000-0010-0000-0000-000010000000}" name="Reasonably Certain" dataDxfId="2020"/>
    <tableColumn id="17" xr3:uid="{00000000-0010-0000-0000-000011000000}" name="Year to Exercise" dataDxfId="2019"/>
    <tableColumn id="18" xr3:uid="{00000000-0010-0000-0000-000012000000}" name="Option to Extend" dataDxfId="2018"/>
    <tableColumn id="19" xr3:uid="{00000000-0010-0000-0000-000013000000}" name="Reasonably Certain2" dataDxfId="2017"/>
    <tableColumn id="20" xr3:uid="{00000000-0010-0000-0000-000014000000}" name="Years to Extend" dataDxfId="2016"/>
    <tableColumn id="21" xr3:uid="{00000000-0010-0000-0000-000015000000}" name="Termination Option8" dataDxfId="2015"/>
    <tableColumn id="22" xr3:uid="{00000000-0010-0000-0000-000016000000}" name="Reasonably Certain9" dataDxfId="2014"/>
    <tableColumn id="23" xr3:uid="{00000000-0010-0000-0000-000017000000}" name="Year to Exercise10" dataDxfId="2013"/>
    <tableColumn id="24" xr3:uid="{00000000-0010-0000-0000-000018000000}" name="Option to Extend11" dataDxfId="2012"/>
    <tableColumn id="25" xr3:uid="{00000000-0010-0000-0000-000019000000}" name="Reasonably Certain12" dataDxfId="2011"/>
    <tableColumn id="26" xr3:uid="{00000000-0010-0000-0000-00001A000000}" name="Years to Extend13" dataDxfId="2010"/>
    <tableColumn id="12" xr3:uid="{00000000-0010-0000-0000-00000C000000}" name="Do Both Parties have to agree for extension to occur?" dataDxfId="2009"/>
    <tableColumn id="52" xr3:uid="{00000000-0010-0000-0000-000034000000}" name="Assessed Term" dataDxfId="2008">
      <calculatedColumnFormula>+IF(AB4=0,AA4+AC4,AB4)</calculatedColumnFormula>
    </tableColumn>
    <tableColumn id="49" xr3:uid="{00000000-0010-0000-0000-000031000000}" name="Term (less term Cancellable)" dataDxfId="2007">
      <calculatedColumnFormula>+IF(AND(S4="Yes",M4="Yes"),IF(OR(O4=U4,O4&lt;U4),U4,O4),L4)</calculatedColumnFormula>
    </tableColumn>
    <tableColumn id="50" xr3:uid="{00000000-0010-0000-0000-000032000000}" name="Term Options" dataDxfId="2006">
      <calculatedColumnFormula>+IF(M4=S4,MAX(O4,U4),(IF(OR(T4="yes",N4="Yes"),MIN(O4,U4),IF(AND(T4="Yes",N4="No"),U4,IF(AND(T4="No",N4="Yes"),O4,0)))))</calculatedColumnFormula>
    </tableColumn>
    <tableColumn id="51" xr3:uid="{00000000-0010-0000-0000-000033000000}" name="Extend Options" dataDxfId="2005">
      <calculatedColumnFormula>+IF(Table3[[#This Row],[Do Both Parties have to agree for extension to occur?]]="Yes",0,IF(AND(W4="Yes",Q4="Yes"),IF(R4=X4,R4,MAX(R4,X4)),IF(AND(W4="Yes",OR(Q4="No",Q4="")),X4,IF(AND(OR(W4="No",W4=""),Q4="Yes"),R4,0))))</calculatedColumnFormula>
    </tableColumn>
    <tableColumn id="30" xr3:uid="{00000000-0010-0000-0000-00001E000000}" name="Payment Frequency" dataDxfId="2004"/>
    <tableColumn id="53" xr3:uid="{00000000-0010-0000-0000-000035000000}" name="Payment (Beginning of Period or End of Period)" dataDxfId="2003"/>
    <tableColumn id="31" xr3:uid="{00000000-0010-0000-0000-00001F000000}" name="Payment Periods" dataDxfId="2002">
      <calculatedColumnFormula>IF(AD4="Monthly",Table3[[#This Row],[Assessed Term]]*12,IF(AD4="quarterly",Table3[[#This Row],[Assessed Term]]*4,IF(AD4="annually",Table3[[#This Row],[Assessed Term]]*1,IF(AD4="weekly",Table3[[#This Row],[Assessed Term]]*52,IF(AD4="semiannually",Table3[[#This Row],[Assessed Term]]*2," ")))))</calculatedColumnFormula>
    </tableColumn>
    <tableColumn id="33" xr3:uid="{00000000-0010-0000-0000-000021000000}" name=" (Yes/No)" dataDxfId="2001"/>
    <tableColumn id="34" xr3:uid="{00000000-0010-0000-0000-000022000000}" name="Describe " dataDxfId="2000"/>
    <tableColumn id="35" xr3:uid="{00000000-0010-0000-0000-000023000000}" name="Fixed/Insubstance fixed payments" dataDxfId="1999" dataCellStyle="Currency"/>
    <tableColumn id="47" xr3:uid="{00000000-0010-0000-0000-00002F000000}" name="Variable payments to track for note disclosure" dataDxfId="1998" dataCellStyle="Currency"/>
    <tableColumn id="48" xr3:uid="{00000000-0010-0000-0000-000030000000}" name="Describe" dataDxfId="1997" dataCellStyle="Currency"/>
    <tableColumn id="36" xr3:uid="{00000000-0010-0000-0000-000024000000}" name="Interest Rate (stated or implied)" dataDxfId="1996"/>
    <tableColumn id="37" xr3:uid="{00000000-0010-0000-0000-000025000000}" name="If Imputed Describe" dataDxfId="1995"/>
    <tableColumn id="38" xr3:uid="{00000000-0010-0000-0000-000026000000}" name="Rate" dataDxfId="1994" dataCellStyle="Percent"/>
    <tableColumn id="43" xr3:uid="{00000000-0010-0000-0000-00002B000000}" name="Present Value" dataDxfId="1993" dataCellStyle="Percent">
      <calculatedColumnFormula>IF(K4 = "Lease",+PV(AN4/(AF4/Table3[[#This Row],[Assessed Term]]),AF4,-AI4,0,IF(AE4="Beginning",1,0)))</calculatedColumnFormula>
    </tableColumn>
    <tableColumn id="39" xr3:uid="{00000000-0010-0000-0000-000027000000}" name="Preparer Consideration of Materiality (yes = material, no = not considered)" dataDxfId="1992"/>
    <tableColumn id="45" xr3:uid="{00000000-0010-0000-0000-00002D000000}" name="Accumulation of Immaterial Agreements" dataDxfId="1991">
      <calculatedColumnFormula>+IF(AP4 = "no",AO4,0)</calculatedColumnFormula>
    </tableColumn>
    <tableColumn id="13" xr3:uid="{00000000-0010-0000-0000-00000D000000}" name="Account Number/Fund" dataDxfId="199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X550"/>
  <sheetViews>
    <sheetView showGridLines="0" tabSelected="1" zoomScale="84" zoomScaleNormal="84" workbookViewId="0">
      <selection activeCell="C3" sqref="C3"/>
    </sheetView>
  </sheetViews>
  <sheetFormatPr defaultRowHeight="14.4"/>
  <cols>
    <col min="1" max="1" width="60.6640625" customWidth="1"/>
    <col min="2" max="2" width="28.88671875" style="14" customWidth="1"/>
    <col min="3" max="3" width="18.33203125" bestFit="1" customWidth="1"/>
    <col min="4" max="4" width="23.5546875" bestFit="1" customWidth="1"/>
    <col min="5" max="5" width="26" bestFit="1" customWidth="1"/>
    <col min="6" max="6" width="19.88671875" bestFit="1" customWidth="1"/>
    <col min="7" max="7" width="22.6640625" bestFit="1" customWidth="1"/>
    <col min="8" max="8" width="22.6640625" customWidth="1"/>
    <col min="9" max="9" width="26.88671875" bestFit="1" customWidth="1"/>
    <col min="10" max="10" width="26.88671875" customWidth="1"/>
    <col min="11" max="11" width="24.5546875" bestFit="1" customWidth="1"/>
    <col min="12" max="12" width="21.88671875" bestFit="1" customWidth="1"/>
    <col min="13" max="14" width="23.88671875" bestFit="1" customWidth="1"/>
    <col min="15" max="15" width="20.33203125" bestFit="1" customWidth="1"/>
    <col min="16" max="16" width="21.44140625" bestFit="1" customWidth="1"/>
    <col min="17" max="17" width="24.5546875" bestFit="1" customWidth="1"/>
    <col min="18" max="18" width="19.88671875" bestFit="1" customWidth="1"/>
    <col min="19" max="19" width="24.88671875" bestFit="1" customWidth="1"/>
    <col min="20" max="20" width="24.5546875" bestFit="1" customWidth="1"/>
    <col min="21" max="21" width="22.109375" bestFit="1" customWidth="1"/>
    <col min="22" max="22" width="23.33203125" bestFit="1" customWidth="1"/>
    <col min="23" max="23" width="25.5546875" bestFit="1" customWidth="1"/>
    <col min="24" max="24" width="21.88671875" bestFit="1" customWidth="1"/>
    <col min="25" max="25" width="21.88671875" customWidth="1"/>
    <col min="26" max="26" width="23.109375" customWidth="1"/>
    <col min="27" max="28" width="17" hidden="1" customWidth="1"/>
    <col min="29" max="29" width="24.6640625" hidden="1" customWidth="1"/>
    <col min="30" max="30" width="23.6640625" bestFit="1" customWidth="1"/>
    <col min="31" max="31" width="23.6640625" customWidth="1"/>
    <col min="32" max="32" width="21.109375" bestFit="1" customWidth="1"/>
    <col min="33" max="33" width="21" customWidth="1"/>
    <col min="34" max="34" width="62.6640625" customWidth="1"/>
    <col min="35" max="35" width="28.109375" style="9" customWidth="1"/>
    <col min="36" max="36" width="26.6640625" style="9" customWidth="1"/>
    <col min="37" max="37" width="36.44140625" style="9" customWidth="1"/>
    <col min="38" max="38" width="23.33203125" bestFit="1" customWidth="1"/>
    <col min="39" max="39" width="35.5546875" bestFit="1" customWidth="1"/>
    <col min="40" max="40" width="10.109375" style="121" bestFit="1" customWidth="1"/>
    <col min="41" max="41" width="18.109375" bestFit="1" customWidth="1"/>
    <col min="42" max="42" width="39.109375" customWidth="1"/>
    <col min="43" max="43" width="30.6640625" bestFit="1" customWidth="1"/>
    <col min="44" max="44" width="30.6640625" customWidth="1"/>
    <col min="45" max="45" width="31.5546875" bestFit="1" customWidth="1"/>
    <col min="46" max="46" width="36.44140625" customWidth="1"/>
    <col min="48" max="48" width="20" customWidth="1"/>
  </cols>
  <sheetData>
    <row r="1" spans="1:50" s="1" customFormat="1" ht="32.25" customHeight="1" thickTop="1" thickBot="1">
      <c r="A1" s="2"/>
      <c r="B1" s="187" t="s">
        <v>112</v>
      </c>
      <c r="C1" s="188"/>
      <c r="D1" s="2"/>
      <c r="E1" s="2"/>
      <c r="F1" s="4"/>
      <c r="G1" s="4"/>
      <c r="H1" s="4"/>
      <c r="I1" s="4"/>
      <c r="J1" s="4"/>
      <c r="K1" s="2"/>
      <c r="L1" s="3"/>
      <c r="M1" s="191"/>
      <c r="N1" s="191"/>
      <c r="O1" s="191"/>
      <c r="P1" s="191"/>
      <c r="Q1" s="191"/>
      <c r="R1" s="191"/>
      <c r="S1" s="191"/>
      <c r="T1" s="191"/>
      <c r="U1" s="191"/>
      <c r="V1" s="191"/>
      <c r="W1" s="191"/>
      <c r="X1" s="191"/>
      <c r="Y1" s="2"/>
      <c r="Z1" s="2"/>
      <c r="AA1" s="2"/>
      <c r="AB1" s="2"/>
      <c r="AC1" s="2"/>
      <c r="AD1" s="2"/>
      <c r="AE1" s="2"/>
      <c r="AF1" s="2"/>
      <c r="AG1" s="2"/>
      <c r="AH1" s="2"/>
      <c r="AI1" s="8"/>
      <c r="AJ1" s="8"/>
      <c r="AK1" s="8"/>
      <c r="AL1" s="2"/>
      <c r="AM1" s="2"/>
      <c r="AN1" s="118"/>
      <c r="AO1" s="75"/>
      <c r="AS1" s="17" t="s">
        <v>40</v>
      </c>
      <c r="AT1" s="18" t="s">
        <v>153</v>
      </c>
      <c r="AU1" s="192"/>
      <c r="AV1" s="192"/>
    </row>
    <row r="2" spans="1:50" s="1" customFormat="1" ht="15" thickBot="1">
      <c r="A2" s="81" t="s">
        <v>116</v>
      </c>
      <c r="B2" s="94">
        <v>44743</v>
      </c>
      <c r="C2" s="95">
        <v>45107</v>
      </c>
      <c r="D2" s="2"/>
      <c r="E2" s="2"/>
      <c r="F2" s="2"/>
      <c r="G2" s="2"/>
      <c r="H2" s="2"/>
      <c r="I2" s="2"/>
      <c r="J2" s="2"/>
      <c r="K2" s="2"/>
      <c r="L2" s="3"/>
      <c r="M2" s="189" t="s">
        <v>2</v>
      </c>
      <c r="N2" s="189"/>
      <c r="O2" s="189"/>
      <c r="P2" s="189"/>
      <c r="Q2" s="189"/>
      <c r="R2" s="189"/>
      <c r="S2" s="190" t="s">
        <v>3</v>
      </c>
      <c r="T2" s="190"/>
      <c r="U2" s="190"/>
      <c r="V2" s="190"/>
      <c r="W2" s="190"/>
      <c r="X2" s="190"/>
      <c r="Y2" s="122"/>
      <c r="Z2" s="2"/>
      <c r="AA2" s="2"/>
      <c r="AB2" s="2"/>
      <c r="AC2" s="2"/>
      <c r="AD2" s="2"/>
      <c r="AE2" s="2"/>
      <c r="AF2" s="2"/>
      <c r="AG2" s="2" t="s">
        <v>5</v>
      </c>
      <c r="AH2" s="2"/>
      <c r="AI2" s="8"/>
      <c r="AJ2" s="8"/>
      <c r="AK2" s="8"/>
      <c r="AL2" s="2"/>
      <c r="AM2" s="2"/>
      <c r="AN2" s="118"/>
      <c r="AS2" s="19" t="s">
        <v>38</v>
      </c>
      <c r="AT2" s="20">
        <f>+SUMIFS(AQ4:AQ550,D4:D550,"Governmental",B4:B550,"&gt;="&amp;B2,B4:B550,"&lt;="&amp;C2)</f>
        <v>0</v>
      </c>
    </row>
    <row r="3" spans="1:50" s="1" customFormat="1" ht="43.2">
      <c r="A3" s="2" t="s">
        <v>41</v>
      </c>
      <c r="B3" s="13" t="s">
        <v>43</v>
      </c>
      <c r="C3" s="2" t="s">
        <v>8</v>
      </c>
      <c r="D3" s="2" t="s">
        <v>37</v>
      </c>
      <c r="E3" s="10" t="s">
        <v>27</v>
      </c>
      <c r="F3" s="10" t="s">
        <v>35</v>
      </c>
      <c r="G3" s="10" t="s">
        <v>36</v>
      </c>
      <c r="H3" s="10" t="s">
        <v>158</v>
      </c>
      <c r="I3" s="10" t="s">
        <v>66</v>
      </c>
      <c r="J3" s="10" t="s">
        <v>98</v>
      </c>
      <c r="K3" s="2" t="s">
        <v>24</v>
      </c>
      <c r="L3" s="2" t="s">
        <v>42</v>
      </c>
      <c r="M3" s="5" t="s">
        <v>9</v>
      </c>
      <c r="N3" s="5" t="s">
        <v>28</v>
      </c>
      <c r="O3" s="5" t="s">
        <v>10</v>
      </c>
      <c r="P3" s="5" t="s">
        <v>15</v>
      </c>
      <c r="Q3" s="5" t="s">
        <v>44</v>
      </c>
      <c r="R3" s="5" t="s">
        <v>16</v>
      </c>
      <c r="S3" s="6" t="s">
        <v>29</v>
      </c>
      <c r="T3" s="6" t="s">
        <v>30</v>
      </c>
      <c r="U3" s="6" t="s">
        <v>31</v>
      </c>
      <c r="V3" s="6" t="s">
        <v>32</v>
      </c>
      <c r="W3" s="6" t="s">
        <v>33</v>
      </c>
      <c r="X3" s="6" t="s">
        <v>34</v>
      </c>
      <c r="Y3" s="122" t="s">
        <v>203</v>
      </c>
      <c r="Z3" s="10" t="s">
        <v>51</v>
      </c>
      <c r="AA3" s="10" t="s">
        <v>54</v>
      </c>
      <c r="AB3" s="10" t="s">
        <v>52</v>
      </c>
      <c r="AC3" s="10" t="s">
        <v>53</v>
      </c>
      <c r="AD3" s="2" t="s">
        <v>21</v>
      </c>
      <c r="AE3" s="10" t="s">
        <v>55</v>
      </c>
      <c r="AF3" s="2" t="s">
        <v>22</v>
      </c>
      <c r="AG3" s="2" t="s">
        <v>6</v>
      </c>
      <c r="AH3" s="2" t="s">
        <v>7</v>
      </c>
      <c r="AI3" s="11" t="s">
        <v>26</v>
      </c>
      <c r="AJ3" s="11" t="s">
        <v>47</v>
      </c>
      <c r="AK3" s="11" t="s">
        <v>48</v>
      </c>
      <c r="AL3" s="10" t="s">
        <v>45</v>
      </c>
      <c r="AM3" s="10" t="s">
        <v>23</v>
      </c>
      <c r="AN3" s="118" t="s">
        <v>4</v>
      </c>
      <c r="AO3" s="1" t="s">
        <v>25</v>
      </c>
      <c r="AP3" s="12" t="s">
        <v>65</v>
      </c>
      <c r="AQ3" s="12" t="s">
        <v>46</v>
      </c>
      <c r="AR3" s="149" t="s">
        <v>224</v>
      </c>
      <c r="AS3" s="19" t="s">
        <v>39</v>
      </c>
      <c r="AT3" s="20">
        <f>+SUMIFS(AQ4:AQ550,D4:D550,"BTA",B4:B550,"&gt;="&amp;B2,B4:B550,"&lt;="&amp;C2)</f>
        <v>0</v>
      </c>
    </row>
    <row r="4" spans="1:50">
      <c r="A4" s="69"/>
      <c r="B4" s="70"/>
      <c r="C4" s="69"/>
      <c r="D4" s="69"/>
      <c r="E4" s="69"/>
      <c r="F4" s="69"/>
      <c r="G4" s="69"/>
      <c r="H4" s="69"/>
      <c r="I4" s="69"/>
      <c r="J4" s="69"/>
      <c r="K4" t="str">
        <f t="shared" ref="K4:K67" si="0">+IF(AND(F4="yes",G4="yes", H4="no",E4&lt;&gt;"Intangible Asset",E4&lt;&gt;"Service",I4 ="yes", E4&lt;&gt;"Investment", E4&lt;&gt;"Inventory",J4&lt;&gt;"Yes",E4&lt;&gt;""),"Lease","Not a Lease")</f>
        <v>Not a Lease</v>
      </c>
      <c r="L4" s="69"/>
      <c r="M4" s="69"/>
      <c r="N4" s="69"/>
      <c r="O4" s="69"/>
      <c r="P4" s="69"/>
      <c r="Q4" s="69"/>
      <c r="R4" s="69"/>
      <c r="S4" s="69"/>
      <c r="T4" s="69"/>
      <c r="U4" s="69"/>
      <c r="V4" s="69"/>
      <c r="W4" s="69"/>
      <c r="X4" s="69"/>
      <c r="Y4" s="69"/>
      <c r="Z4">
        <f>+IF(AB4=0,AA4+AC4,AB4)</f>
        <v>0</v>
      </c>
      <c r="AA4">
        <f t="shared" ref="AA4:AA67" si="1">+IF(AND(S4="Yes",M4="Yes"),IF(OR(O4=U4,O4&lt;U4),U4,O4),L4)</f>
        <v>0</v>
      </c>
      <c r="AB4">
        <f>+IF(M4=S4,MAX(O4,U4),(IF(OR(T4="yes",N4="Yes"),MIN(O4,U4),IF(AND(T4="Yes",N4="No"),U4,IF(AND(T4="No",N4="Yes"),O4,0)))))</f>
        <v>0</v>
      </c>
      <c r="AC4">
        <f>+IF(Table3[[#This Row],[Do Both Parties have to agree for extension to occur?]]="Yes",0,IF(AND(W4="Yes",Q4="Yes"),IF(R4=X4,R4,MAX(R4,X4)),IF(AND(W4="Yes",OR(Q4="No",Q4="")),X4,IF(AND(OR(W4="No",W4=""),Q4="Yes"),R4,0))))</f>
        <v>0</v>
      </c>
      <c r="AD4" s="69"/>
      <c r="AE4" s="69"/>
      <c r="AF4" t="str">
        <f>IF(AD4="Monthly",Table3[[#This Row],[Assessed Term]]*12,IF(AD4="quarterly",Table3[[#This Row],[Assessed Term]]*4,IF(AD4="annually",Table3[[#This Row],[Assessed Term]]*1,IF(AD4="weekly",Table3[[#This Row],[Assessed Term]]*52,IF(AD4="semiannually",Table3[[#This Row],[Assessed Term]]*2," ")))))</f>
        <v xml:space="preserve"> </v>
      </c>
      <c r="AG4" s="69"/>
      <c r="AH4" s="69"/>
      <c r="AI4" s="72"/>
      <c r="AJ4" s="71"/>
      <c r="AK4" s="71"/>
      <c r="AL4" s="69"/>
      <c r="AM4" s="69"/>
      <c r="AN4" s="119"/>
      <c r="AO4" s="76" t="b">
        <f>IF(K4 = "Lease",+PV(AN4/(AF4/Table3[[#This Row],[Assessed Term]]),AF4,-AI4,0,IF(AE4="Beginning",1,0)))</f>
        <v>0</v>
      </c>
      <c r="AP4" s="72"/>
      <c r="AQ4" s="76">
        <f>+IF(AP4 = "no",AO4,0)</f>
        <v>0</v>
      </c>
      <c r="AR4" s="150"/>
      <c r="AS4" s="21"/>
      <c r="AT4" s="22"/>
    </row>
    <row r="5" spans="1:50">
      <c r="A5" s="69"/>
      <c r="B5" s="70"/>
      <c r="C5" s="69"/>
      <c r="D5" s="69"/>
      <c r="E5" s="69"/>
      <c r="F5" s="69"/>
      <c r="G5" s="69"/>
      <c r="H5" s="69"/>
      <c r="I5" s="69"/>
      <c r="J5" s="69"/>
      <c r="K5" t="str">
        <f t="shared" si="0"/>
        <v>Not a Lease</v>
      </c>
      <c r="L5" s="69"/>
      <c r="M5" s="69"/>
      <c r="N5" s="69"/>
      <c r="O5" s="69"/>
      <c r="P5" s="69"/>
      <c r="Q5" s="69"/>
      <c r="R5" s="69"/>
      <c r="S5" s="69"/>
      <c r="T5" s="69"/>
      <c r="U5" s="69"/>
      <c r="V5" s="69"/>
      <c r="W5" s="69"/>
      <c r="X5" s="69"/>
      <c r="Y5" s="69"/>
      <c r="Z5">
        <f t="shared" ref="Z5:Z35" si="2">+IF(AB5=0,AA5+AC5,AB5)</f>
        <v>0</v>
      </c>
      <c r="AA5">
        <f t="shared" si="1"/>
        <v>0</v>
      </c>
      <c r="AB5">
        <f t="shared" ref="AB5:AB67" si="3">+IF(M5=S5,MAX(O5,U5),(IF(OR(T5="yes",N5="Yes"),MIN(O5,U5),IF(AND(T5="Yes",N5="No"),U5,IF(AND(T5="No",N5="Yes"),O5,0)))))</f>
        <v>0</v>
      </c>
      <c r="AC5">
        <f>+IF(Table3[[#This Row],[Do Both Parties have to agree for extension to occur?]]="Yes",0,IF(AND(W5="Yes",Q5="Yes"),IF(R5=X5,R5,MAX(R5,X5)),IF(AND(W5="Yes",OR(Q5="No",Q5="")),X5,IF(AND(OR(W5="No",W5=""),Q5="Yes"),R5,0))))</f>
        <v>0</v>
      </c>
      <c r="AD5" s="69"/>
      <c r="AE5" s="69"/>
      <c r="AF5" t="str">
        <f>IF(AD5="Monthly",Table3[[#This Row],[Assessed Term]]*12,IF(AD5="quarterly",Table3[[#This Row],[Assessed Term]]*4,IF(AD5="annually",Table3[[#This Row],[Assessed Term]]*1,IF(AD5="weekly",Table3[[#This Row],[Assessed Term]]*52,IF(AD5="semiannually",Table3[[#This Row],[Assessed Term]]*2," ")))))</f>
        <v xml:space="preserve"> </v>
      </c>
      <c r="AG5" s="69"/>
      <c r="AH5" s="69"/>
      <c r="AI5" s="71"/>
      <c r="AJ5" s="73"/>
      <c r="AK5" s="73"/>
      <c r="AL5" s="69"/>
      <c r="AM5" s="69"/>
      <c r="AN5" s="119"/>
      <c r="AO5" s="76" t="b">
        <f>IF(K5 = "Lease",+PV(AN5/(AF5/Table3[[#This Row],[Assessed Term]]),AF5,-AI5,0,IF(AE5="Beginning",1,0)))</f>
        <v>0</v>
      </c>
      <c r="AP5" s="69"/>
      <c r="AQ5" s="76">
        <f t="shared" ref="AQ5:AQ35" si="4">+IF(AP5 = "no",AO5,0)</f>
        <v>0</v>
      </c>
      <c r="AR5" s="72"/>
      <c r="AS5" s="23" t="s">
        <v>56</v>
      </c>
      <c r="AT5" s="24"/>
    </row>
    <row r="6" spans="1:50">
      <c r="A6" s="69"/>
      <c r="B6" s="70"/>
      <c r="C6" s="69"/>
      <c r="D6" s="69"/>
      <c r="E6" s="69"/>
      <c r="F6" s="69"/>
      <c r="G6" s="69"/>
      <c r="H6" s="69"/>
      <c r="I6" s="69"/>
      <c r="J6" s="69"/>
      <c r="K6" t="str">
        <f t="shared" si="0"/>
        <v>Not a Lease</v>
      </c>
      <c r="L6" s="69"/>
      <c r="M6" s="69"/>
      <c r="N6" s="69"/>
      <c r="O6" s="69"/>
      <c r="P6" s="69"/>
      <c r="Q6" s="69"/>
      <c r="R6" s="69"/>
      <c r="S6" s="69"/>
      <c r="T6" s="69"/>
      <c r="U6" s="69"/>
      <c r="V6" s="69"/>
      <c r="W6" s="69"/>
      <c r="X6" s="69"/>
      <c r="Y6" s="69"/>
      <c r="Z6">
        <f t="shared" si="2"/>
        <v>0</v>
      </c>
      <c r="AA6">
        <f t="shared" si="1"/>
        <v>0</v>
      </c>
      <c r="AB6">
        <f t="shared" si="3"/>
        <v>0</v>
      </c>
      <c r="AC6">
        <f>+IF(Table3[[#This Row],[Do Both Parties have to agree for extension to occur?]]="Yes",0,IF(AND(W6="Yes",Q6="Yes"),IF(R6=X6,R6,MAX(R6,X6)),IF(AND(W6="Yes",OR(Q6="No",Q6="")),X6,IF(AND(OR(W6="No",W6=""),Q6="Yes"),R6,0))))</f>
        <v>0</v>
      </c>
      <c r="AD6" s="69"/>
      <c r="AE6" s="69"/>
      <c r="AF6" t="str">
        <f>IF(AD6="Monthly",Table3[[#This Row],[Assessed Term]]*12,IF(AD6="quarterly",Table3[[#This Row],[Assessed Term]]*4,IF(AD6="annually",Table3[[#This Row],[Assessed Term]]*1,IF(AD6="weekly",Table3[[#This Row],[Assessed Term]]*52,IF(AD6="semiannually",Table3[[#This Row],[Assessed Term]]*2," ")))))</f>
        <v xml:space="preserve"> </v>
      </c>
      <c r="AG6" s="69"/>
      <c r="AH6" s="69"/>
      <c r="AI6" s="71"/>
      <c r="AJ6" s="71"/>
      <c r="AK6" s="73"/>
      <c r="AL6" s="69"/>
      <c r="AM6" s="69"/>
      <c r="AN6" s="119"/>
      <c r="AO6" s="76" t="b">
        <f>IF(K6 = "Lease",+PV(AN6/(AF6/Table3[[#This Row],[Assessed Term]]),AF6,-AI6,0,IF(AE6="Beginning",1,0)))</f>
        <v>0</v>
      </c>
      <c r="AP6" s="69"/>
      <c r="AQ6" s="76">
        <f t="shared" si="4"/>
        <v>0</v>
      </c>
      <c r="AR6" s="72"/>
      <c r="AS6" s="25" t="s">
        <v>38</v>
      </c>
      <c r="AT6" s="48">
        <f>+SUMIFS(AQ4:AQ550,D4:D550,"Governmental",C4:C550,"Lessor",B4:B550,"&gt;="&amp;B2,B4:B550,"&lt;="&amp;C2)</f>
        <v>0</v>
      </c>
      <c r="AU6" s="185" t="s">
        <v>115</v>
      </c>
      <c r="AV6" s="186"/>
      <c r="AW6" s="186"/>
      <c r="AX6" s="186"/>
    </row>
    <row r="7" spans="1:50">
      <c r="A7" s="69"/>
      <c r="B7" s="70"/>
      <c r="C7" s="69"/>
      <c r="D7" s="69"/>
      <c r="E7" s="69"/>
      <c r="F7" s="69"/>
      <c r="G7" s="69"/>
      <c r="H7" s="69"/>
      <c r="I7" s="69"/>
      <c r="J7" s="69"/>
      <c r="K7" t="str">
        <f t="shared" si="0"/>
        <v>Not a Lease</v>
      </c>
      <c r="L7" s="69"/>
      <c r="M7" s="69"/>
      <c r="N7" s="69"/>
      <c r="O7" s="69"/>
      <c r="P7" s="69"/>
      <c r="Q7" s="69"/>
      <c r="R7" s="69"/>
      <c r="S7" s="69"/>
      <c r="T7" s="69"/>
      <c r="U7" s="69"/>
      <c r="V7" s="69"/>
      <c r="W7" s="69"/>
      <c r="X7" s="69"/>
      <c r="Y7" s="69"/>
      <c r="Z7">
        <f t="shared" si="2"/>
        <v>0</v>
      </c>
      <c r="AA7">
        <f t="shared" si="1"/>
        <v>0</v>
      </c>
      <c r="AB7">
        <f t="shared" si="3"/>
        <v>0</v>
      </c>
      <c r="AC7">
        <f>+IF(Table3[[#This Row],[Do Both Parties have to agree for extension to occur?]]="Yes",0,IF(AND(W7="Yes",Q7="Yes"),IF(R7=X7,R7,MAX(R7,X7)),IF(AND(W7="Yes",OR(Q7="No",Q7="")),X7,IF(AND(OR(W7="No",W7=""),Q7="Yes"),R7,0))))</f>
        <v>0</v>
      </c>
      <c r="AD7" s="69"/>
      <c r="AE7" s="69"/>
      <c r="AF7" t="str">
        <f>IF(AD7="Monthly",Table3[[#This Row],[Assessed Term]]*12,IF(AD7="quarterly",Table3[[#This Row],[Assessed Term]]*4,IF(AD7="annually",Table3[[#This Row],[Assessed Term]]*1,IF(AD7="weekly",Table3[[#This Row],[Assessed Term]]*52,IF(AD7="semiannually",Table3[[#This Row],[Assessed Term]]*2," ")))))</f>
        <v xml:space="preserve"> </v>
      </c>
      <c r="AG7" s="69"/>
      <c r="AH7" s="69"/>
      <c r="AI7" s="71"/>
      <c r="AJ7" s="71"/>
      <c r="AK7" s="73"/>
      <c r="AL7" s="69"/>
      <c r="AM7" s="69"/>
      <c r="AN7" s="119"/>
      <c r="AO7" s="76" t="b">
        <f>IF(K7 = "Lease",+PV(AN7/(AF7/Table3[[#This Row],[Assessed Term]]),AF7,-AI7,0,IF(AE7="Beginning",1,0)))</f>
        <v>0</v>
      </c>
      <c r="AP7" s="69"/>
      <c r="AQ7" s="76">
        <f t="shared" si="4"/>
        <v>0</v>
      </c>
      <c r="AR7" s="72"/>
      <c r="AS7" s="25" t="s">
        <v>39</v>
      </c>
      <c r="AT7" s="48">
        <f>+SUMIFS(AQ4:AQ550,D4:D550,"BTA",C4:C550,"Lessor",B4:B550,"&gt;="&amp;B2,B4:B550,"&lt;="&amp;C2)</f>
        <v>0</v>
      </c>
      <c r="AU7" s="185"/>
      <c r="AV7" s="186"/>
      <c r="AW7" s="186"/>
      <c r="AX7" s="186"/>
    </row>
    <row r="8" spans="1:50" ht="30.75" customHeight="1">
      <c r="A8" s="69"/>
      <c r="B8" s="70"/>
      <c r="C8" s="69"/>
      <c r="D8" s="69"/>
      <c r="E8" s="69"/>
      <c r="F8" s="69"/>
      <c r="G8" s="69"/>
      <c r="H8" s="69"/>
      <c r="I8" s="69"/>
      <c r="J8" s="69"/>
      <c r="K8" t="str">
        <f t="shared" si="0"/>
        <v>Not a Lease</v>
      </c>
      <c r="L8" s="69"/>
      <c r="M8" s="69"/>
      <c r="N8" s="69"/>
      <c r="O8" s="69"/>
      <c r="P8" s="69"/>
      <c r="Q8" s="69"/>
      <c r="R8" s="69"/>
      <c r="S8" s="69"/>
      <c r="T8" s="69"/>
      <c r="U8" s="69"/>
      <c r="V8" s="69"/>
      <c r="W8" s="69"/>
      <c r="X8" s="69"/>
      <c r="Y8" s="69"/>
      <c r="Z8">
        <f t="shared" si="2"/>
        <v>0</v>
      </c>
      <c r="AA8">
        <f t="shared" si="1"/>
        <v>0</v>
      </c>
      <c r="AB8">
        <f t="shared" si="3"/>
        <v>0</v>
      </c>
      <c r="AC8">
        <f>+IF(Table3[[#This Row],[Do Both Parties have to agree for extension to occur?]]="Yes",0,IF(AND(W8="Yes",Q8="Yes"),IF(R8=X8,R8,MAX(R8,X8)),IF(AND(W8="Yes",OR(Q8="No",Q8="")),X8,IF(AND(OR(W8="No",W8=""),Q8="Yes"),R8,0))))</f>
        <v>0</v>
      </c>
      <c r="AD8" s="69"/>
      <c r="AE8" s="69"/>
      <c r="AF8" t="str">
        <f>IF(AD8="Monthly",Table3[[#This Row],[Assessed Term]]*12,IF(AD8="quarterly",Table3[[#This Row],[Assessed Term]]*4,IF(AD8="annually",Table3[[#This Row],[Assessed Term]]*1,IF(AD8="weekly",Table3[[#This Row],[Assessed Term]]*52,IF(AD8="semiannually",Table3[[#This Row],[Assessed Term]]*2," ")))))</f>
        <v xml:space="preserve"> </v>
      </c>
      <c r="AG8" s="69"/>
      <c r="AH8" s="74"/>
      <c r="AI8" s="71"/>
      <c r="AJ8" s="71"/>
      <c r="AK8" s="106"/>
      <c r="AL8" s="69"/>
      <c r="AM8" s="69"/>
      <c r="AN8" s="119"/>
      <c r="AO8" s="76" t="b">
        <f>IF(K8 = "Lease",+PV(AN8/(AF8/Table3[[#This Row],[Assessed Term]]),AF8,-AI8,0,IF(AE8="Beginning",1,0)))</f>
        <v>0</v>
      </c>
      <c r="AP8" s="69"/>
      <c r="AQ8" s="76">
        <f>+IF(AP8 = "no",AO8,0)</f>
        <v>0</v>
      </c>
      <c r="AR8" s="72"/>
      <c r="AS8" s="21"/>
      <c r="AT8" s="22"/>
    </row>
    <row r="9" spans="1:50">
      <c r="A9" s="69"/>
      <c r="B9" s="70"/>
      <c r="C9" s="69"/>
      <c r="D9" s="69"/>
      <c r="E9" s="69"/>
      <c r="F9" s="69"/>
      <c r="G9" s="69"/>
      <c r="H9" s="69"/>
      <c r="I9" s="69"/>
      <c r="J9" s="69"/>
      <c r="K9" t="str">
        <f t="shared" si="0"/>
        <v>Not a Lease</v>
      </c>
      <c r="L9" s="69"/>
      <c r="M9" s="69"/>
      <c r="N9" s="69"/>
      <c r="O9" s="69"/>
      <c r="P9" s="69"/>
      <c r="Q9" s="69"/>
      <c r="R9" s="69"/>
      <c r="S9" s="69"/>
      <c r="T9" s="69"/>
      <c r="U9" s="69"/>
      <c r="V9" s="69"/>
      <c r="W9" s="69"/>
      <c r="X9" s="69"/>
      <c r="Y9" s="69"/>
      <c r="Z9">
        <f t="shared" si="2"/>
        <v>0</v>
      </c>
      <c r="AA9">
        <f t="shared" si="1"/>
        <v>0</v>
      </c>
      <c r="AB9">
        <f t="shared" si="3"/>
        <v>0</v>
      </c>
      <c r="AC9">
        <f>+IF(Table3[[#This Row],[Do Both Parties have to agree for extension to occur?]]="Yes",0,IF(AND(W9="Yes",Q9="Yes"),IF(R9=X9,R9,MAX(R9,X9)),IF(AND(W9="Yes",OR(Q9="No",Q9="")),X9,IF(AND(OR(W9="No",W9=""),Q9="Yes"),R9,0))))</f>
        <v>0</v>
      </c>
      <c r="AD9" s="69"/>
      <c r="AE9" s="69"/>
      <c r="AF9" t="str">
        <f>IF(AD9="Monthly",Table3[[#This Row],[Assessed Term]]*12,IF(AD9="quarterly",Table3[[#This Row],[Assessed Term]]*4,IF(AD9="annually",Table3[[#This Row],[Assessed Term]]*1,IF(AD9="weekly",Table3[[#This Row],[Assessed Term]]*52,IF(AD9="semiannually",Table3[[#This Row],[Assessed Term]]*2," ")))))</f>
        <v xml:space="preserve"> </v>
      </c>
      <c r="AG9" s="69"/>
      <c r="AH9" s="69"/>
      <c r="AI9" s="71"/>
      <c r="AJ9" s="71"/>
      <c r="AK9" s="73"/>
      <c r="AL9" s="69"/>
      <c r="AM9" s="69"/>
      <c r="AN9" s="119"/>
      <c r="AO9" s="76" t="b">
        <f>IF(K9 = "Lease",+PV(AN9/(AF9/Table3[[#This Row],[Assessed Term]]),AF9,-AI9,0,IF(AE9="Beginning",1,0)))</f>
        <v>0</v>
      </c>
      <c r="AP9" s="69"/>
      <c r="AQ9" s="76">
        <f t="shared" si="4"/>
        <v>0</v>
      </c>
      <c r="AR9" s="72"/>
      <c r="AS9" s="23" t="s">
        <v>57</v>
      </c>
      <c r="AT9" s="24"/>
    </row>
    <row r="10" spans="1:50">
      <c r="A10" s="69"/>
      <c r="B10" s="70"/>
      <c r="C10" s="69"/>
      <c r="D10" s="69"/>
      <c r="E10" s="69"/>
      <c r="F10" s="69"/>
      <c r="G10" s="69"/>
      <c r="H10" s="69"/>
      <c r="I10" s="69"/>
      <c r="J10" s="69"/>
      <c r="K10" t="str">
        <f t="shared" si="0"/>
        <v>Not a Lease</v>
      </c>
      <c r="L10" s="69"/>
      <c r="M10" s="69"/>
      <c r="N10" s="69"/>
      <c r="O10" s="69"/>
      <c r="P10" s="69"/>
      <c r="Q10" s="69"/>
      <c r="R10" s="69"/>
      <c r="S10" s="69"/>
      <c r="T10" s="69"/>
      <c r="U10" s="69"/>
      <c r="V10" s="69"/>
      <c r="W10" s="69"/>
      <c r="X10" s="69"/>
      <c r="Y10" s="69"/>
      <c r="Z10">
        <f>+IF(AB10=0,AA10+AC10,AB10)</f>
        <v>0</v>
      </c>
      <c r="AA10">
        <f t="shared" si="1"/>
        <v>0</v>
      </c>
      <c r="AB10">
        <f t="shared" si="3"/>
        <v>0</v>
      </c>
      <c r="AC10">
        <f>+IF(Table3[[#This Row],[Do Both Parties have to agree for extension to occur?]]="Yes",0,IF(AND(W10="Yes",Q10="Yes"),IF(R10=X10,R10,MAX(R10,X10)),IF(AND(W10="Yes",OR(Q10="No",Q10="")),X10,IF(AND(OR(W10="No",W10=""),Q10="Yes"),R10,0))))</f>
        <v>0</v>
      </c>
      <c r="AD10" s="69"/>
      <c r="AE10" s="69"/>
      <c r="AF10" t="str">
        <f>IF(AD10="Monthly",Table3[[#This Row],[Assessed Term]]*12,IF(AD10="quarterly",Table3[[#This Row],[Assessed Term]]*4,IF(AD10="annually",Table3[[#This Row],[Assessed Term]]*1,IF(AD10="weekly",Table3[[#This Row],[Assessed Term]]*52,IF(AD10="semiannually",Table3[[#This Row],[Assessed Term]]*2," ")))))</f>
        <v xml:space="preserve"> </v>
      </c>
      <c r="AG10" s="69"/>
      <c r="AH10" s="69"/>
      <c r="AI10" s="71"/>
      <c r="AJ10" s="71"/>
      <c r="AK10" s="71"/>
      <c r="AL10" s="69"/>
      <c r="AM10" s="69"/>
      <c r="AN10" s="119"/>
      <c r="AO10" s="76" t="b">
        <f>IF(K10 = "Lease",+PV(AN10/(AF10/Table3[[#This Row],[Assessed Term]]),AF10,-AI10,0,IF(AE10="Beginning",1,0)))</f>
        <v>0</v>
      </c>
      <c r="AP10" s="69"/>
      <c r="AQ10" s="76">
        <f t="shared" si="4"/>
        <v>0</v>
      </c>
      <c r="AR10" s="72"/>
      <c r="AS10" s="25" t="s">
        <v>38</v>
      </c>
      <c r="AT10" s="48">
        <f>+SUMIFS(AQ4:AQ550,D4:D550,"Governmental",C4:C550,"Lessee",B4:B550,"&gt;="&amp;B2,B4:B550,"&lt;="&amp;C2)</f>
        <v>0</v>
      </c>
    </row>
    <row r="11" spans="1:50">
      <c r="A11" s="69"/>
      <c r="B11" s="70"/>
      <c r="C11" s="69"/>
      <c r="D11" s="69"/>
      <c r="E11" s="69"/>
      <c r="F11" s="69"/>
      <c r="G11" s="69"/>
      <c r="H11" s="69"/>
      <c r="I11" s="69"/>
      <c r="J11" s="69"/>
      <c r="K11" t="str">
        <f t="shared" si="0"/>
        <v>Not a Lease</v>
      </c>
      <c r="L11" s="69"/>
      <c r="M11" s="69"/>
      <c r="N11" s="69"/>
      <c r="O11" s="69"/>
      <c r="P11" s="69"/>
      <c r="Q11" s="69"/>
      <c r="R11" s="69"/>
      <c r="S11" s="69"/>
      <c r="T11" s="69"/>
      <c r="U11" s="69"/>
      <c r="V11" s="69"/>
      <c r="W11" s="69"/>
      <c r="X11" s="69"/>
      <c r="Y11" s="69"/>
      <c r="Z11">
        <f t="shared" si="2"/>
        <v>0</v>
      </c>
      <c r="AA11">
        <f t="shared" si="1"/>
        <v>0</v>
      </c>
      <c r="AB11">
        <f t="shared" si="3"/>
        <v>0</v>
      </c>
      <c r="AC11">
        <f>+IF(Table3[[#This Row],[Do Both Parties have to agree for extension to occur?]]="Yes",0,IF(AND(W11="Yes",Q11="Yes"),IF(R11=X11,R11,MAX(R11,X11)),IF(AND(W11="Yes",OR(Q11="No",Q11="")),X11,IF(AND(OR(W11="No",W11=""),Q11="Yes"),R11,0))))</f>
        <v>0</v>
      </c>
      <c r="AD11" s="69"/>
      <c r="AE11" s="69"/>
      <c r="AF11" t="str">
        <f>IF(AD11="Monthly",Table3[[#This Row],[Assessed Term]]*12,IF(AD11="quarterly",Table3[[#This Row],[Assessed Term]]*4,IF(AD11="annually",Table3[[#This Row],[Assessed Term]]*1,IF(AD11="weekly",Table3[[#This Row],[Assessed Term]]*52,IF(AD11="semiannually",Table3[[#This Row],[Assessed Term]]*2," ")))))</f>
        <v xml:space="preserve"> </v>
      </c>
      <c r="AG11" s="69"/>
      <c r="AH11" s="69"/>
      <c r="AI11" s="71"/>
      <c r="AJ11" s="71"/>
      <c r="AK11" s="71"/>
      <c r="AL11" s="69"/>
      <c r="AM11" s="69"/>
      <c r="AN11" s="119"/>
      <c r="AO11" s="76" t="b">
        <f>IF(K11 = "Lease",+PV(AN11/(AF11/Table3[[#This Row],[Assessed Term]]),AF11,-AI11,0,IF(AE11="Beginning",1,0)))</f>
        <v>0</v>
      </c>
      <c r="AP11" s="69"/>
      <c r="AQ11" s="76">
        <f t="shared" si="4"/>
        <v>0</v>
      </c>
      <c r="AR11" s="72"/>
      <c r="AS11" s="26" t="s">
        <v>39</v>
      </c>
      <c r="AT11" s="27">
        <f>+SUMIFS(AQ4:AQ550,D4:D550,"BTA",C4:C550,"Lessee",B4:B550,"&gt;="&amp;B2,B4:B550,"&lt;="&amp;C2)</f>
        <v>0</v>
      </c>
    </row>
    <row r="12" spans="1:50">
      <c r="A12" s="69"/>
      <c r="B12" s="70"/>
      <c r="C12" s="69"/>
      <c r="D12" s="69"/>
      <c r="E12" s="69"/>
      <c r="F12" s="69"/>
      <c r="G12" s="69"/>
      <c r="H12" s="69"/>
      <c r="I12" s="69"/>
      <c r="J12" s="69"/>
      <c r="K12" t="str">
        <f t="shared" si="0"/>
        <v>Not a Lease</v>
      </c>
      <c r="L12" s="69"/>
      <c r="M12" s="69"/>
      <c r="N12" s="69"/>
      <c r="O12" s="69"/>
      <c r="P12" s="69"/>
      <c r="Q12" s="69"/>
      <c r="R12" s="69"/>
      <c r="S12" s="69"/>
      <c r="T12" s="69"/>
      <c r="U12" s="69"/>
      <c r="V12" s="69"/>
      <c r="W12" s="69"/>
      <c r="X12" s="69"/>
      <c r="Y12" s="69"/>
      <c r="Z12">
        <f t="shared" si="2"/>
        <v>0</v>
      </c>
      <c r="AA12">
        <f t="shared" si="1"/>
        <v>0</v>
      </c>
      <c r="AB12">
        <f t="shared" si="3"/>
        <v>0</v>
      </c>
      <c r="AC12">
        <f>+IF(Table3[[#This Row],[Do Both Parties have to agree for extension to occur?]]="Yes",0,IF(AND(W12="Yes",Q12="Yes"),IF(R12=X12,R12,MAX(R12,X12)),IF(AND(W12="Yes",OR(Q12="No",Q12="")),X12,IF(AND(OR(W12="No",W12=""),Q12="Yes"),R12,0))))</f>
        <v>0</v>
      </c>
      <c r="AD12" s="69"/>
      <c r="AE12" s="69"/>
      <c r="AF12" t="str">
        <f>IF(AD12="Monthly",Table3[[#This Row],[Assessed Term]]*12,IF(AD12="quarterly",Table3[[#This Row],[Assessed Term]]*4,IF(AD12="annually",Table3[[#This Row],[Assessed Term]]*1,IF(AD12="weekly",Table3[[#This Row],[Assessed Term]]*52,IF(AD12="semiannually",Table3[[#This Row],[Assessed Term]]*2," ")))))</f>
        <v xml:space="preserve"> </v>
      </c>
      <c r="AG12" s="69"/>
      <c r="AH12" s="69"/>
      <c r="AI12" s="71"/>
      <c r="AJ12" s="71"/>
      <c r="AK12" s="71"/>
      <c r="AL12" s="69"/>
      <c r="AM12" s="69"/>
      <c r="AN12" s="119"/>
      <c r="AO12" s="76" t="b">
        <f>IF(K12 = "Lease",+PV(AN12/(AF12/Table3[[#This Row],[Assessed Term]]),AF12,-AI12,0,IF(AE12="Beginning",1,0)))</f>
        <v>0</v>
      </c>
      <c r="AP12" s="69"/>
      <c r="AQ12" s="76">
        <f t="shared" si="4"/>
        <v>0</v>
      </c>
      <c r="AR12" s="72"/>
    </row>
    <row r="13" spans="1:50">
      <c r="A13" s="69"/>
      <c r="B13" s="70"/>
      <c r="C13" s="69"/>
      <c r="D13" s="69"/>
      <c r="E13" s="69"/>
      <c r="F13" s="69"/>
      <c r="G13" s="69"/>
      <c r="H13" s="69"/>
      <c r="I13" s="69"/>
      <c r="J13" s="69"/>
      <c r="K13" t="str">
        <f t="shared" si="0"/>
        <v>Not a Lease</v>
      </c>
      <c r="L13" s="69"/>
      <c r="M13" s="69"/>
      <c r="N13" s="69"/>
      <c r="O13" s="69"/>
      <c r="P13" s="69"/>
      <c r="Q13" s="69"/>
      <c r="R13" s="69"/>
      <c r="S13" s="69"/>
      <c r="T13" s="69"/>
      <c r="U13" s="69"/>
      <c r="V13" s="69"/>
      <c r="W13" s="69"/>
      <c r="X13" s="69"/>
      <c r="Y13" s="69"/>
      <c r="Z13">
        <f t="shared" si="2"/>
        <v>0</v>
      </c>
      <c r="AA13">
        <f t="shared" si="1"/>
        <v>0</v>
      </c>
      <c r="AB13">
        <f t="shared" si="3"/>
        <v>0</v>
      </c>
      <c r="AC13">
        <f>+IF(Table3[[#This Row],[Do Both Parties have to agree for extension to occur?]]="Yes",0,IF(AND(W13="Yes",Q13="Yes"),IF(R13=X13,R13,MAX(R13,X13)),IF(AND(W13="Yes",OR(Q13="No",Q13="")),X13,IF(AND(OR(W13="No",W13=""),Q13="Yes"),R13,0))))</f>
        <v>0</v>
      </c>
      <c r="AD13" s="69"/>
      <c r="AE13" s="69"/>
      <c r="AF13" t="str">
        <f>IF(AD13="Monthly",Table3[[#This Row],[Assessed Term]]*12,IF(AD13="quarterly",Table3[[#This Row],[Assessed Term]]*4,IF(AD13="annually",Table3[[#This Row],[Assessed Term]]*1,IF(AD13="weekly",Table3[[#This Row],[Assessed Term]]*52,IF(AD13="semiannually",Table3[[#This Row],[Assessed Term]]*2," ")))))</f>
        <v xml:space="preserve"> </v>
      </c>
      <c r="AG13" s="69"/>
      <c r="AH13" s="69"/>
      <c r="AI13" s="71"/>
      <c r="AJ13" s="71"/>
      <c r="AK13" s="71"/>
      <c r="AL13" s="69"/>
      <c r="AM13" s="69"/>
      <c r="AN13" s="119"/>
      <c r="AO13" s="76" t="b">
        <f>IF(K13 = "Lease",+PV(AN13/(AF13/Table3[[#This Row],[Assessed Term]]),AF13,-AI13,0,IF(AE13="Beginning",1,0)))</f>
        <v>0</v>
      </c>
      <c r="AP13" s="69"/>
      <c r="AQ13" s="76">
        <f t="shared" si="4"/>
        <v>0</v>
      </c>
      <c r="AR13" s="72"/>
    </row>
    <row r="14" spans="1:50">
      <c r="A14" s="69"/>
      <c r="B14" s="70"/>
      <c r="C14" s="69"/>
      <c r="D14" s="69"/>
      <c r="E14" s="69"/>
      <c r="F14" s="69"/>
      <c r="G14" s="69"/>
      <c r="H14" s="69"/>
      <c r="I14" s="69"/>
      <c r="J14" s="69"/>
      <c r="K14" t="str">
        <f t="shared" si="0"/>
        <v>Not a Lease</v>
      </c>
      <c r="L14" s="69"/>
      <c r="M14" s="69"/>
      <c r="N14" s="69"/>
      <c r="O14" s="69"/>
      <c r="P14" s="69"/>
      <c r="Q14" s="69"/>
      <c r="R14" s="69"/>
      <c r="S14" s="69"/>
      <c r="T14" s="69"/>
      <c r="U14" s="69"/>
      <c r="V14" s="69"/>
      <c r="W14" s="69"/>
      <c r="X14" s="69"/>
      <c r="Y14" s="69"/>
      <c r="Z14">
        <f t="shared" si="2"/>
        <v>0</v>
      </c>
      <c r="AA14">
        <f t="shared" si="1"/>
        <v>0</v>
      </c>
      <c r="AB14">
        <f t="shared" si="3"/>
        <v>0</v>
      </c>
      <c r="AC14">
        <f>+IF(Table3[[#This Row],[Do Both Parties have to agree for extension to occur?]]="Yes",0,IF(AND(W14="Yes",Q14="Yes"),IF(R14=X14,R14,MAX(R14,X14)),IF(AND(W14="Yes",OR(Q14="No",Q14="")),X14,IF(AND(OR(W14="No",W14=""),Q14="Yes"),R14,0))))</f>
        <v>0</v>
      </c>
      <c r="AD14" s="69"/>
      <c r="AE14" s="69"/>
      <c r="AF14" t="str">
        <f>IF(AD14="Monthly",Table3[[#This Row],[Assessed Term]]*12,IF(AD14="quarterly",Table3[[#This Row],[Assessed Term]]*4,IF(AD14="annually",Table3[[#This Row],[Assessed Term]]*1,IF(AD14="weekly",Table3[[#This Row],[Assessed Term]]*52,IF(AD14="semiannually",Table3[[#This Row],[Assessed Term]]*2," ")))))</f>
        <v xml:space="preserve"> </v>
      </c>
      <c r="AG14" s="69"/>
      <c r="AH14" s="69"/>
      <c r="AI14" s="71"/>
      <c r="AJ14" s="71"/>
      <c r="AK14" s="71"/>
      <c r="AL14" s="69"/>
      <c r="AM14" s="69"/>
      <c r="AN14" s="119"/>
      <c r="AO14" s="76" t="b">
        <f>IF(K14 = "Lease",+PV(AN14/(AF14/Table3[[#This Row],[Assessed Term]]),AF14,-AI14,0,IF(AE14="Beginning",1,0)))</f>
        <v>0</v>
      </c>
      <c r="AP14" s="69"/>
      <c r="AQ14" s="76">
        <f t="shared" si="4"/>
        <v>0</v>
      </c>
      <c r="AR14" s="72"/>
    </row>
    <row r="15" spans="1:50">
      <c r="A15" s="69"/>
      <c r="B15" s="70"/>
      <c r="C15" s="69"/>
      <c r="D15" s="69"/>
      <c r="E15" s="69"/>
      <c r="F15" s="69"/>
      <c r="G15" s="69"/>
      <c r="H15" s="69"/>
      <c r="I15" s="69"/>
      <c r="J15" s="69"/>
      <c r="K15" t="str">
        <f t="shared" si="0"/>
        <v>Not a Lease</v>
      </c>
      <c r="L15" s="69"/>
      <c r="M15" s="69"/>
      <c r="N15" s="69"/>
      <c r="O15" s="69"/>
      <c r="P15" s="69"/>
      <c r="Q15" s="69"/>
      <c r="R15" s="69"/>
      <c r="S15" s="69"/>
      <c r="T15" s="69"/>
      <c r="U15" s="69"/>
      <c r="V15" s="69"/>
      <c r="W15" s="69"/>
      <c r="X15" s="69"/>
      <c r="Y15" s="69"/>
      <c r="Z15">
        <f t="shared" si="2"/>
        <v>0</v>
      </c>
      <c r="AA15">
        <f t="shared" si="1"/>
        <v>0</v>
      </c>
      <c r="AB15">
        <f t="shared" si="3"/>
        <v>0</v>
      </c>
      <c r="AC15">
        <f>+IF(Table3[[#This Row],[Do Both Parties have to agree for extension to occur?]]="Yes",0,IF(AND(W15="Yes",Q15="Yes"),IF(R15=X15,R15,MAX(R15,X15)),IF(AND(W15="Yes",OR(Q15="No",Q15="")),X15,IF(AND(OR(W15="No",W15=""),Q15="Yes"),R15,0))))</f>
        <v>0</v>
      </c>
      <c r="AD15" s="69"/>
      <c r="AE15" s="69"/>
      <c r="AF15" t="str">
        <f>IF(AD15="Monthly",Table3[[#This Row],[Assessed Term]]*12,IF(AD15="quarterly",Table3[[#This Row],[Assessed Term]]*4,IF(AD15="annually",Table3[[#This Row],[Assessed Term]]*1,IF(AD15="weekly",Table3[[#This Row],[Assessed Term]]*52,IF(AD15="semiannually",Table3[[#This Row],[Assessed Term]]*2," ")))))</f>
        <v xml:space="preserve"> </v>
      </c>
      <c r="AG15" s="69"/>
      <c r="AH15" s="69"/>
      <c r="AI15" s="71"/>
      <c r="AJ15" s="71"/>
      <c r="AK15" s="71"/>
      <c r="AL15" s="69"/>
      <c r="AM15" s="69"/>
      <c r="AN15" s="119"/>
      <c r="AO15" s="76" t="b">
        <f>IF(K15 = "Lease",+PV(AN15/(AF15/Table3[[#This Row],[Assessed Term]]),AF15,-AI15,0,IF(AE15="Beginning",1,0)))</f>
        <v>0</v>
      </c>
      <c r="AP15" s="69"/>
      <c r="AQ15" s="76">
        <f t="shared" si="4"/>
        <v>0</v>
      </c>
      <c r="AR15" s="72"/>
    </row>
    <row r="16" spans="1:50">
      <c r="A16" s="69"/>
      <c r="B16" s="70"/>
      <c r="C16" s="69"/>
      <c r="D16" s="69"/>
      <c r="E16" s="69"/>
      <c r="F16" s="69"/>
      <c r="G16" s="69"/>
      <c r="H16" s="69"/>
      <c r="I16" s="69"/>
      <c r="J16" s="69"/>
      <c r="K16" t="str">
        <f t="shared" si="0"/>
        <v>Not a Lease</v>
      </c>
      <c r="L16" s="69"/>
      <c r="M16" s="69"/>
      <c r="N16" s="69"/>
      <c r="O16" s="69"/>
      <c r="P16" s="69"/>
      <c r="Q16" s="69"/>
      <c r="R16" s="69"/>
      <c r="S16" s="69"/>
      <c r="T16" s="69"/>
      <c r="U16" s="69"/>
      <c r="V16" s="69"/>
      <c r="W16" s="69"/>
      <c r="X16" s="69"/>
      <c r="Y16" s="69"/>
      <c r="Z16">
        <f t="shared" si="2"/>
        <v>0</v>
      </c>
      <c r="AA16">
        <f t="shared" si="1"/>
        <v>0</v>
      </c>
      <c r="AB16">
        <f t="shared" si="3"/>
        <v>0</v>
      </c>
      <c r="AC16">
        <f>+IF(Table3[[#This Row],[Do Both Parties have to agree for extension to occur?]]="Yes",0,IF(AND(W16="Yes",Q16="Yes"),IF(R16=X16,R16,MAX(R16,X16)),IF(AND(W16="Yes",OR(Q16="No",Q16="")),X16,IF(AND(OR(W16="No",W16=""),Q16="Yes"),R16,0))))</f>
        <v>0</v>
      </c>
      <c r="AD16" s="69"/>
      <c r="AE16" s="69"/>
      <c r="AF16" t="str">
        <f>IF(AD16="Monthly",Table3[[#This Row],[Assessed Term]]*12,IF(AD16="quarterly",Table3[[#This Row],[Assessed Term]]*4,IF(AD16="annually",Table3[[#This Row],[Assessed Term]]*1,IF(AD16="weekly",Table3[[#This Row],[Assessed Term]]*52,IF(AD16="semiannually",Table3[[#This Row],[Assessed Term]]*2," ")))))</f>
        <v xml:space="preserve"> </v>
      </c>
      <c r="AG16" s="69"/>
      <c r="AH16" s="69"/>
      <c r="AI16" s="71"/>
      <c r="AJ16" s="71"/>
      <c r="AK16" s="71"/>
      <c r="AL16" s="69"/>
      <c r="AM16" s="69"/>
      <c r="AN16" s="119"/>
      <c r="AO16" s="76" t="b">
        <f>IF(K16 = "Lease",+PV(AN16/(AF16/Table3[[#This Row],[Assessed Term]]),AF16,-AI16,0,IF(AE16="Beginning",1,0)))</f>
        <v>0</v>
      </c>
      <c r="AP16" s="69"/>
      <c r="AQ16" s="76">
        <f t="shared" si="4"/>
        <v>0</v>
      </c>
      <c r="AR16" s="72"/>
    </row>
    <row r="17" spans="1:44">
      <c r="A17" s="69"/>
      <c r="B17" s="70"/>
      <c r="C17" s="69"/>
      <c r="D17" s="69"/>
      <c r="E17" s="69"/>
      <c r="F17" s="69"/>
      <c r="G17" s="69"/>
      <c r="H17" s="69"/>
      <c r="I17" s="69"/>
      <c r="J17" s="69"/>
      <c r="K17" t="str">
        <f t="shared" si="0"/>
        <v>Not a Lease</v>
      </c>
      <c r="L17" s="69"/>
      <c r="M17" s="69"/>
      <c r="N17" s="69"/>
      <c r="O17" s="69"/>
      <c r="P17" s="69"/>
      <c r="Q17" s="69"/>
      <c r="R17" s="69"/>
      <c r="S17" s="69"/>
      <c r="T17" s="69"/>
      <c r="U17" s="69"/>
      <c r="V17" s="69"/>
      <c r="W17" s="69"/>
      <c r="X17" s="69"/>
      <c r="Y17" s="69"/>
      <c r="Z17">
        <f t="shared" si="2"/>
        <v>0</v>
      </c>
      <c r="AA17">
        <f t="shared" si="1"/>
        <v>0</v>
      </c>
      <c r="AB17">
        <f t="shared" si="3"/>
        <v>0</v>
      </c>
      <c r="AC17">
        <f>+IF(Table3[[#This Row],[Do Both Parties have to agree for extension to occur?]]="Yes",0,IF(AND(W17="Yes",Q17="Yes"),IF(R17=X17,R17,MAX(R17,X17)),IF(AND(W17="Yes",OR(Q17="No",Q17="")),X17,IF(AND(OR(W17="No",W17=""),Q17="Yes"),R17,0))))</f>
        <v>0</v>
      </c>
      <c r="AD17" s="69"/>
      <c r="AE17" s="69"/>
      <c r="AF17" t="str">
        <f>IF(AD17="Monthly",Table3[[#This Row],[Assessed Term]]*12,IF(AD17="quarterly",Table3[[#This Row],[Assessed Term]]*4,IF(AD17="annually",Table3[[#This Row],[Assessed Term]]*1,IF(AD17="weekly",Table3[[#This Row],[Assessed Term]]*52,IF(AD17="semiannually",Table3[[#This Row],[Assessed Term]]*2," ")))))</f>
        <v xml:space="preserve"> </v>
      </c>
      <c r="AG17" s="69"/>
      <c r="AH17" s="69"/>
      <c r="AI17" s="71"/>
      <c r="AJ17" s="71"/>
      <c r="AK17" s="71"/>
      <c r="AL17" s="69"/>
      <c r="AM17" s="69"/>
      <c r="AN17" s="119"/>
      <c r="AO17" s="76" t="b">
        <f>IF(K17 = "Lease",+PV(AN17/(AF17/Table3[[#This Row],[Assessed Term]]),AF17,-AI17,0,IF(AE17="Beginning",1,0)))</f>
        <v>0</v>
      </c>
      <c r="AP17" s="69"/>
      <c r="AQ17" s="76">
        <f t="shared" si="4"/>
        <v>0</v>
      </c>
      <c r="AR17" s="72"/>
    </row>
    <row r="18" spans="1:44">
      <c r="A18" s="69"/>
      <c r="B18" s="70"/>
      <c r="C18" s="69"/>
      <c r="D18" s="69"/>
      <c r="E18" s="69"/>
      <c r="F18" s="69"/>
      <c r="G18" s="69"/>
      <c r="H18" s="69"/>
      <c r="I18" s="69"/>
      <c r="J18" s="69"/>
      <c r="K18" t="str">
        <f t="shared" si="0"/>
        <v>Not a Lease</v>
      </c>
      <c r="L18" s="69"/>
      <c r="M18" s="69"/>
      <c r="N18" s="69"/>
      <c r="O18" s="69"/>
      <c r="P18" s="69"/>
      <c r="Q18" s="69"/>
      <c r="R18" s="69"/>
      <c r="S18" s="69"/>
      <c r="T18" s="69"/>
      <c r="U18" s="69"/>
      <c r="V18" s="69"/>
      <c r="W18" s="69"/>
      <c r="X18" s="69"/>
      <c r="Y18" s="69"/>
      <c r="Z18">
        <f t="shared" si="2"/>
        <v>0</v>
      </c>
      <c r="AA18">
        <f t="shared" si="1"/>
        <v>0</v>
      </c>
      <c r="AB18">
        <f t="shared" si="3"/>
        <v>0</v>
      </c>
      <c r="AC18">
        <f>+IF(Table3[[#This Row],[Do Both Parties have to agree for extension to occur?]]="Yes",0,IF(AND(W18="Yes",Q18="Yes"),IF(R18=X18,R18,MAX(R18,X18)),IF(AND(W18="Yes",OR(Q18="No",Q18="")),X18,IF(AND(OR(W18="No",W18=""),Q18="Yes"),R18,0))))</f>
        <v>0</v>
      </c>
      <c r="AD18" s="69"/>
      <c r="AE18" s="69"/>
      <c r="AF18" t="str">
        <f>IF(AD18="Monthly",Table3[[#This Row],[Assessed Term]]*12,IF(AD18="quarterly",Table3[[#This Row],[Assessed Term]]*4,IF(AD18="annually",Table3[[#This Row],[Assessed Term]]*1,IF(AD18="weekly",Table3[[#This Row],[Assessed Term]]*52,IF(AD18="semiannually",Table3[[#This Row],[Assessed Term]]*2," ")))))</f>
        <v xml:space="preserve"> </v>
      </c>
      <c r="AG18" s="69"/>
      <c r="AH18" s="69"/>
      <c r="AI18" s="71"/>
      <c r="AJ18" s="71"/>
      <c r="AK18" s="71"/>
      <c r="AL18" s="69"/>
      <c r="AM18" s="69"/>
      <c r="AN18" s="119"/>
      <c r="AO18" s="76" t="b">
        <f>IF(K18 = "Lease",+PV(AN18/(AF18/Table3[[#This Row],[Assessed Term]]),AF18,-AI18,0,IF(AE18="Beginning",1,0)))</f>
        <v>0</v>
      </c>
      <c r="AP18" s="69"/>
      <c r="AQ18" s="76">
        <f t="shared" si="4"/>
        <v>0</v>
      </c>
      <c r="AR18" s="72"/>
    </row>
    <row r="19" spans="1:44">
      <c r="A19" s="69"/>
      <c r="B19" s="70"/>
      <c r="C19" s="69"/>
      <c r="D19" s="69"/>
      <c r="E19" s="69"/>
      <c r="F19" s="69"/>
      <c r="G19" s="69"/>
      <c r="H19" s="69"/>
      <c r="I19" s="69"/>
      <c r="J19" s="69"/>
      <c r="K19" t="str">
        <f t="shared" si="0"/>
        <v>Not a Lease</v>
      </c>
      <c r="L19" s="69"/>
      <c r="M19" s="69"/>
      <c r="N19" s="69"/>
      <c r="O19" s="69"/>
      <c r="P19" s="69"/>
      <c r="Q19" s="69"/>
      <c r="R19" s="69"/>
      <c r="S19" s="69"/>
      <c r="T19" s="69"/>
      <c r="U19" s="69"/>
      <c r="V19" s="69"/>
      <c r="W19" s="69"/>
      <c r="X19" s="69"/>
      <c r="Y19" s="69"/>
      <c r="Z19">
        <f t="shared" si="2"/>
        <v>0</v>
      </c>
      <c r="AA19">
        <f t="shared" si="1"/>
        <v>0</v>
      </c>
      <c r="AB19">
        <f t="shared" si="3"/>
        <v>0</v>
      </c>
      <c r="AC19">
        <f>+IF(Table3[[#This Row],[Do Both Parties have to agree for extension to occur?]]="Yes",0,IF(AND(W19="Yes",Q19="Yes"),IF(R19=X19,R19,MAX(R19,X19)),IF(AND(W19="Yes",OR(Q19="No",Q19="")),X19,IF(AND(OR(W19="No",W19=""),Q19="Yes"),R19,0))))</f>
        <v>0</v>
      </c>
      <c r="AD19" s="69"/>
      <c r="AE19" s="69"/>
      <c r="AF19" t="str">
        <f>IF(AD19="Monthly",Table3[[#This Row],[Assessed Term]]*12,IF(AD19="quarterly",Table3[[#This Row],[Assessed Term]]*4,IF(AD19="annually",Table3[[#This Row],[Assessed Term]]*1,IF(AD19="weekly",Table3[[#This Row],[Assessed Term]]*52,IF(AD19="semiannually",Table3[[#This Row],[Assessed Term]]*2," ")))))</f>
        <v xml:space="preserve"> </v>
      </c>
      <c r="AG19" s="69"/>
      <c r="AH19" s="69"/>
      <c r="AI19" s="71"/>
      <c r="AJ19" s="71"/>
      <c r="AK19" s="71"/>
      <c r="AL19" s="69"/>
      <c r="AM19" s="69"/>
      <c r="AN19" s="119"/>
      <c r="AO19" s="76" t="b">
        <f>IF(K19 = "Lease",+PV(AN19/(AF19/Table3[[#This Row],[Assessed Term]]),AF19,-AI19,0,IF(AE19="Beginning",1,0)))</f>
        <v>0</v>
      </c>
      <c r="AP19" s="69"/>
      <c r="AQ19" s="76">
        <f t="shared" si="4"/>
        <v>0</v>
      </c>
      <c r="AR19" s="72"/>
    </row>
    <row r="20" spans="1:44">
      <c r="A20" s="69"/>
      <c r="B20" s="70"/>
      <c r="C20" s="69"/>
      <c r="D20" s="69"/>
      <c r="E20" s="69"/>
      <c r="F20" s="69"/>
      <c r="G20" s="69"/>
      <c r="H20" s="69"/>
      <c r="I20" s="69"/>
      <c r="J20" s="69"/>
      <c r="K20" t="str">
        <f t="shared" si="0"/>
        <v>Not a Lease</v>
      </c>
      <c r="L20" s="69"/>
      <c r="M20" s="69"/>
      <c r="N20" s="69"/>
      <c r="O20" s="69"/>
      <c r="P20" s="69"/>
      <c r="Q20" s="69"/>
      <c r="R20" s="69"/>
      <c r="S20" s="69"/>
      <c r="T20" s="69"/>
      <c r="U20" s="69"/>
      <c r="V20" s="69"/>
      <c r="W20" s="69"/>
      <c r="X20" s="69"/>
      <c r="Y20" s="69"/>
      <c r="Z20">
        <f t="shared" si="2"/>
        <v>0</v>
      </c>
      <c r="AA20">
        <f t="shared" si="1"/>
        <v>0</v>
      </c>
      <c r="AB20">
        <f t="shared" si="3"/>
        <v>0</v>
      </c>
      <c r="AC20">
        <f>+IF(Table3[[#This Row],[Do Both Parties have to agree for extension to occur?]]="Yes",0,IF(AND(W20="Yes",Q20="Yes"),IF(R20=X20,R20,MAX(R20,X20)),IF(AND(W20="Yes",OR(Q20="No",Q20="")),X20,IF(AND(OR(W20="No",W20=""),Q20="Yes"),R20,0))))</f>
        <v>0</v>
      </c>
      <c r="AD20" s="69"/>
      <c r="AE20" s="69"/>
      <c r="AF20" t="str">
        <f>IF(AD20="Monthly",Table3[[#This Row],[Assessed Term]]*12,IF(AD20="quarterly",Table3[[#This Row],[Assessed Term]]*4,IF(AD20="annually",Table3[[#This Row],[Assessed Term]]*1,IF(AD20="weekly",Table3[[#This Row],[Assessed Term]]*52,IF(AD20="semiannually",Table3[[#This Row],[Assessed Term]]*2," ")))))</f>
        <v xml:space="preserve"> </v>
      </c>
      <c r="AG20" s="69"/>
      <c r="AH20" s="69"/>
      <c r="AI20" s="71"/>
      <c r="AJ20" s="71"/>
      <c r="AK20" s="71"/>
      <c r="AL20" s="69"/>
      <c r="AM20" s="69"/>
      <c r="AN20" s="119"/>
      <c r="AO20" s="76" t="b">
        <f>IF(K20 = "Lease",+PV(AN20/(AF20/Table3[[#This Row],[Assessed Term]]),AF20,-AI20,0,IF(AE20="Beginning",1,0)))</f>
        <v>0</v>
      </c>
      <c r="AP20" s="69"/>
      <c r="AQ20" s="76">
        <f t="shared" si="4"/>
        <v>0</v>
      </c>
      <c r="AR20" s="72"/>
    </row>
    <row r="21" spans="1:44">
      <c r="A21" s="69"/>
      <c r="B21" s="70"/>
      <c r="C21" s="69"/>
      <c r="D21" s="69"/>
      <c r="E21" s="69"/>
      <c r="F21" s="69"/>
      <c r="G21" s="69"/>
      <c r="H21" s="69"/>
      <c r="I21" s="69"/>
      <c r="J21" s="69"/>
      <c r="K21" t="str">
        <f t="shared" si="0"/>
        <v>Not a Lease</v>
      </c>
      <c r="L21" s="69"/>
      <c r="M21" s="69"/>
      <c r="N21" s="69"/>
      <c r="O21" s="69"/>
      <c r="P21" s="69"/>
      <c r="Q21" s="69"/>
      <c r="R21" s="69"/>
      <c r="S21" s="69"/>
      <c r="T21" s="69"/>
      <c r="U21" s="69"/>
      <c r="V21" s="69"/>
      <c r="W21" s="69"/>
      <c r="X21" s="69"/>
      <c r="Y21" s="69"/>
      <c r="Z21">
        <f t="shared" si="2"/>
        <v>0</v>
      </c>
      <c r="AA21">
        <f t="shared" si="1"/>
        <v>0</v>
      </c>
      <c r="AB21">
        <f t="shared" si="3"/>
        <v>0</v>
      </c>
      <c r="AC21">
        <f>+IF(Table3[[#This Row],[Do Both Parties have to agree for extension to occur?]]="Yes",0,IF(AND(W21="Yes",Q21="Yes"),IF(R21=X21,R21,MAX(R21,X21)),IF(AND(W21="Yes",OR(Q21="No",Q21="")),X21,IF(AND(OR(W21="No",W21=""),Q21="Yes"),R21,0))))</f>
        <v>0</v>
      </c>
      <c r="AD21" s="69"/>
      <c r="AE21" s="69"/>
      <c r="AF21" t="str">
        <f>IF(AD21="Monthly",Table3[[#This Row],[Assessed Term]]*12,IF(AD21="quarterly",Table3[[#This Row],[Assessed Term]]*4,IF(AD21="annually",Table3[[#This Row],[Assessed Term]]*1,IF(AD21="weekly",Table3[[#This Row],[Assessed Term]]*52,IF(AD21="semiannually",Table3[[#This Row],[Assessed Term]]*2," ")))))</f>
        <v xml:space="preserve"> </v>
      </c>
      <c r="AG21" s="69"/>
      <c r="AH21" s="69"/>
      <c r="AI21" s="71"/>
      <c r="AJ21" s="71"/>
      <c r="AK21" s="71"/>
      <c r="AL21" s="69"/>
      <c r="AM21" s="69"/>
      <c r="AN21" s="119"/>
      <c r="AO21" s="76" t="b">
        <f>IF(K21 = "Lease",+PV(AN21/(AF21/Table3[[#This Row],[Assessed Term]]),AF21,-AI21,0,IF(AE21="Beginning",1,0)))</f>
        <v>0</v>
      </c>
      <c r="AP21" s="69"/>
      <c r="AQ21" s="76">
        <f t="shared" si="4"/>
        <v>0</v>
      </c>
      <c r="AR21" s="72"/>
    </row>
    <row r="22" spans="1:44">
      <c r="A22" s="69"/>
      <c r="B22" s="70"/>
      <c r="C22" s="69"/>
      <c r="D22" s="69"/>
      <c r="E22" s="69"/>
      <c r="F22" s="69"/>
      <c r="G22" s="69"/>
      <c r="H22" s="69"/>
      <c r="I22" s="69"/>
      <c r="J22" s="69"/>
      <c r="K22" t="str">
        <f t="shared" si="0"/>
        <v>Not a Lease</v>
      </c>
      <c r="L22" s="69"/>
      <c r="M22" s="69"/>
      <c r="N22" s="69"/>
      <c r="O22" s="69"/>
      <c r="P22" s="69"/>
      <c r="Q22" s="69"/>
      <c r="R22" s="69"/>
      <c r="S22" s="69"/>
      <c r="T22" s="69"/>
      <c r="U22" s="69"/>
      <c r="V22" s="69"/>
      <c r="W22" s="69"/>
      <c r="X22" s="69"/>
      <c r="Y22" s="69"/>
      <c r="Z22">
        <f t="shared" si="2"/>
        <v>0</v>
      </c>
      <c r="AA22">
        <f t="shared" si="1"/>
        <v>0</v>
      </c>
      <c r="AB22">
        <f t="shared" si="3"/>
        <v>0</v>
      </c>
      <c r="AC22">
        <f>+IF(Table3[[#This Row],[Do Both Parties have to agree for extension to occur?]]="Yes",0,IF(AND(W22="Yes",Q22="Yes"),IF(R22=X22,R22,MAX(R22,X22)),IF(AND(W22="Yes",OR(Q22="No",Q22="")),X22,IF(AND(OR(W22="No",W22=""),Q22="Yes"),R22,0))))</f>
        <v>0</v>
      </c>
      <c r="AD22" s="69"/>
      <c r="AE22" s="69"/>
      <c r="AF22" t="str">
        <f>IF(AD22="Monthly",Table3[[#This Row],[Assessed Term]]*12,IF(AD22="quarterly",Table3[[#This Row],[Assessed Term]]*4,IF(AD22="annually",Table3[[#This Row],[Assessed Term]]*1,IF(AD22="weekly",Table3[[#This Row],[Assessed Term]]*52,IF(AD22="semiannually",Table3[[#This Row],[Assessed Term]]*2," ")))))</f>
        <v xml:space="preserve"> </v>
      </c>
      <c r="AG22" s="69"/>
      <c r="AH22" s="69"/>
      <c r="AI22" s="71"/>
      <c r="AJ22" s="71"/>
      <c r="AK22" s="71"/>
      <c r="AL22" s="69"/>
      <c r="AM22" s="69"/>
      <c r="AN22" s="119"/>
      <c r="AO22" s="76" t="b">
        <f>IF(K22 = "Lease",+PV(AN22/(AF22/Table3[[#This Row],[Assessed Term]]),AF22,-AI22,0,IF(AE22="Beginning",1,0)))</f>
        <v>0</v>
      </c>
      <c r="AP22" s="69"/>
      <c r="AQ22" s="76">
        <f t="shared" si="4"/>
        <v>0</v>
      </c>
      <c r="AR22" s="72"/>
    </row>
    <row r="23" spans="1:44">
      <c r="A23" s="69"/>
      <c r="B23" s="70"/>
      <c r="C23" s="69"/>
      <c r="D23" s="69"/>
      <c r="E23" s="69"/>
      <c r="F23" s="69"/>
      <c r="G23" s="69"/>
      <c r="H23" s="69"/>
      <c r="I23" s="69"/>
      <c r="J23" s="69"/>
      <c r="K23" t="str">
        <f t="shared" si="0"/>
        <v>Not a Lease</v>
      </c>
      <c r="L23" s="69"/>
      <c r="M23" s="69"/>
      <c r="N23" s="69"/>
      <c r="O23" s="69"/>
      <c r="P23" s="69"/>
      <c r="Q23" s="69"/>
      <c r="R23" s="69"/>
      <c r="S23" s="69"/>
      <c r="T23" s="69"/>
      <c r="U23" s="69"/>
      <c r="V23" s="69"/>
      <c r="W23" s="69"/>
      <c r="X23" s="69"/>
      <c r="Y23" s="69"/>
      <c r="Z23">
        <f t="shared" si="2"/>
        <v>0</v>
      </c>
      <c r="AA23">
        <f t="shared" si="1"/>
        <v>0</v>
      </c>
      <c r="AB23">
        <f t="shared" si="3"/>
        <v>0</v>
      </c>
      <c r="AC23">
        <f>+IF(Table3[[#This Row],[Do Both Parties have to agree for extension to occur?]]="Yes",0,IF(AND(W23="Yes",Q23="Yes"),IF(R23=X23,R23,MAX(R23,X23)),IF(AND(W23="Yes",OR(Q23="No",Q23="")),X23,IF(AND(OR(W23="No",W23=""),Q23="Yes"),R23,0))))</f>
        <v>0</v>
      </c>
      <c r="AD23" s="69"/>
      <c r="AE23" s="69"/>
      <c r="AF23" t="str">
        <f>IF(AD23="Monthly",Table3[[#This Row],[Assessed Term]]*12,IF(AD23="quarterly",Table3[[#This Row],[Assessed Term]]*4,IF(AD23="annually",Table3[[#This Row],[Assessed Term]]*1,IF(AD23="weekly",Table3[[#This Row],[Assessed Term]]*52,IF(AD23="semiannually",Table3[[#This Row],[Assessed Term]]*2," ")))))</f>
        <v xml:space="preserve"> </v>
      </c>
      <c r="AG23" s="69"/>
      <c r="AH23" s="69"/>
      <c r="AI23" s="71"/>
      <c r="AJ23" s="71"/>
      <c r="AK23" s="71"/>
      <c r="AL23" s="69"/>
      <c r="AM23" s="69"/>
      <c r="AN23" s="119"/>
      <c r="AO23" s="76" t="b">
        <f>IF(K23 = "Lease",+PV(AN23/(AF23/Table3[[#This Row],[Assessed Term]]),AF23,-AI23,0,IF(AE23="Beginning",1,0)))</f>
        <v>0</v>
      </c>
      <c r="AP23" s="69"/>
      <c r="AQ23" s="76">
        <f t="shared" si="4"/>
        <v>0</v>
      </c>
      <c r="AR23" s="72"/>
    </row>
    <row r="24" spans="1:44">
      <c r="A24" s="69"/>
      <c r="B24" s="70"/>
      <c r="C24" s="69"/>
      <c r="D24" s="69"/>
      <c r="E24" s="69"/>
      <c r="F24" s="69"/>
      <c r="G24" s="69"/>
      <c r="H24" s="69"/>
      <c r="I24" s="69"/>
      <c r="J24" s="69"/>
      <c r="K24" t="str">
        <f t="shared" si="0"/>
        <v>Not a Lease</v>
      </c>
      <c r="L24" s="69"/>
      <c r="M24" s="69"/>
      <c r="N24" s="69"/>
      <c r="O24" s="69"/>
      <c r="P24" s="69"/>
      <c r="Q24" s="69"/>
      <c r="R24" s="69"/>
      <c r="S24" s="69"/>
      <c r="T24" s="69"/>
      <c r="U24" s="69"/>
      <c r="V24" s="69"/>
      <c r="W24" s="69"/>
      <c r="X24" s="69"/>
      <c r="Y24" s="69"/>
      <c r="Z24">
        <f t="shared" si="2"/>
        <v>0</v>
      </c>
      <c r="AA24">
        <f t="shared" si="1"/>
        <v>0</v>
      </c>
      <c r="AB24">
        <f t="shared" si="3"/>
        <v>0</v>
      </c>
      <c r="AC24">
        <f>+IF(Table3[[#This Row],[Do Both Parties have to agree for extension to occur?]]="Yes",0,IF(AND(W24="Yes",Q24="Yes"),IF(R24=X24,R24,MAX(R24,X24)),IF(AND(W24="Yes",OR(Q24="No",Q24="")),X24,IF(AND(OR(W24="No",W24=""),Q24="Yes"),R24,0))))</f>
        <v>0</v>
      </c>
      <c r="AD24" s="69"/>
      <c r="AE24" s="69"/>
      <c r="AF24" t="str">
        <f>IF(AD24="Monthly",Table3[[#This Row],[Assessed Term]]*12,IF(AD24="quarterly",Table3[[#This Row],[Assessed Term]]*4,IF(AD24="annually",Table3[[#This Row],[Assessed Term]]*1,IF(AD24="weekly",Table3[[#This Row],[Assessed Term]]*52,IF(AD24="semiannually",Table3[[#This Row],[Assessed Term]]*2," ")))))</f>
        <v xml:space="preserve"> </v>
      </c>
      <c r="AG24" s="69"/>
      <c r="AH24" s="69"/>
      <c r="AI24" s="71"/>
      <c r="AJ24" s="71"/>
      <c r="AK24" s="71"/>
      <c r="AL24" s="69"/>
      <c r="AM24" s="69"/>
      <c r="AN24" s="119"/>
      <c r="AO24" s="76" t="b">
        <f>IF(K24 = "Lease",+PV(AN24/(AF24/Table3[[#This Row],[Assessed Term]]),AF24,-AI24,0,IF(AE24="Beginning",1,0)))</f>
        <v>0</v>
      </c>
      <c r="AP24" s="69"/>
      <c r="AQ24" s="76">
        <f t="shared" si="4"/>
        <v>0</v>
      </c>
      <c r="AR24" s="72"/>
    </row>
    <row r="25" spans="1:44">
      <c r="A25" s="69"/>
      <c r="B25" s="70"/>
      <c r="C25" s="69"/>
      <c r="D25" s="69"/>
      <c r="E25" s="69"/>
      <c r="F25" s="69"/>
      <c r="G25" s="69"/>
      <c r="H25" s="69"/>
      <c r="I25" s="69"/>
      <c r="J25" s="69"/>
      <c r="K25" t="str">
        <f t="shared" si="0"/>
        <v>Not a Lease</v>
      </c>
      <c r="L25" s="69"/>
      <c r="M25" s="69"/>
      <c r="N25" s="69"/>
      <c r="O25" s="69"/>
      <c r="P25" s="69"/>
      <c r="Q25" s="69"/>
      <c r="R25" s="69"/>
      <c r="S25" s="69"/>
      <c r="T25" s="69"/>
      <c r="U25" s="69"/>
      <c r="V25" s="69"/>
      <c r="W25" s="69"/>
      <c r="X25" s="69"/>
      <c r="Y25" s="69"/>
      <c r="Z25">
        <f t="shared" si="2"/>
        <v>0</v>
      </c>
      <c r="AA25">
        <f t="shared" si="1"/>
        <v>0</v>
      </c>
      <c r="AB25">
        <f t="shared" si="3"/>
        <v>0</v>
      </c>
      <c r="AC25">
        <f>+IF(Table3[[#This Row],[Do Both Parties have to agree for extension to occur?]]="Yes",0,IF(AND(W25="Yes",Q25="Yes"),IF(R25=X25,R25,MAX(R25,X25)),IF(AND(W25="Yes",OR(Q25="No",Q25="")),X25,IF(AND(OR(W25="No",W25=""),Q25="Yes"),R25,0))))</f>
        <v>0</v>
      </c>
      <c r="AD25" s="69"/>
      <c r="AE25" s="69"/>
      <c r="AF25" t="str">
        <f>IF(AD25="Monthly",Table3[[#This Row],[Assessed Term]]*12,IF(AD25="quarterly",Table3[[#This Row],[Assessed Term]]*4,IF(AD25="annually",Table3[[#This Row],[Assessed Term]]*1,IF(AD25="weekly",Table3[[#This Row],[Assessed Term]]*52,IF(AD25="semiannually",Table3[[#This Row],[Assessed Term]]*2," ")))))</f>
        <v xml:space="preserve"> </v>
      </c>
      <c r="AG25" s="69"/>
      <c r="AH25" s="69"/>
      <c r="AI25" s="71"/>
      <c r="AJ25" s="71"/>
      <c r="AK25" s="71"/>
      <c r="AL25" s="69"/>
      <c r="AM25" s="69"/>
      <c r="AN25" s="119"/>
      <c r="AO25" s="76" t="b">
        <f>IF(K25 = "Lease",+PV(AN25/(AF25/Table3[[#This Row],[Assessed Term]]),AF25,-AI25,0,IF(AE25="Beginning",1,0)))</f>
        <v>0</v>
      </c>
      <c r="AP25" s="69"/>
      <c r="AQ25" s="76">
        <f t="shared" si="4"/>
        <v>0</v>
      </c>
      <c r="AR25" s="72"/>
    </row>
    <row r="26" spans="1:44">
      <c r="A26" s="69"/>
      <c r="B26" s="70"/>
      <c r="C26" s="69"/>
      <c r="D26" s="69"/>
      <c r="E26" s="69"/>
      <c r="F26" s="69"/>
      <c r="G26" s="69"/>
      <c r="H26" s="69"/>
      <c r="I26" s="69"/>
      <c r="J26" s="69"/>
      <c r="K26" t="str">
        <f t="shared" si="0"/>
        <v>Not a Lease</v>
      </c>
      <c r="L26" s="69"/>
      <c r="M26" s="69"/>
      <c r="N26" s="69"/>
      <c r="O26" s="69"/>
      <c r="P26" s="69"/>
      <c r="Q26" s="69"/>
      <c r="R26" s="69"/>
      <c r="S26" s="69"/>
      <c r="T26" s="69"/>
      <c r="U26" s="69"/>
      <c r="V26" s="69"/>
      <c r="W26" s="69"/>
      <c r="X26" s="69"/>
      <c r="Y26" s="69"/>
      <c r="Z26">
        <f t="shared" si="2"/>
        <v>0</v>
      </c>
      <c r="AA26">
        <f t="shared" si="1"/>
        <v>0</v>
      </c>
      <c r="AB26">
        <f t="shared" si="3"/>
        <v>0</v>
      </c>
      <c r="AC26">
        <f>+IF(Table3[[#This Row],[Do Both Parties have to agree for extension to occur?]]="Yes",0,IF(AND(W26="Yes",Q26="Yes"),IF(R26=X26,R26,MAX(R26,X26)),IF(AND(W26="Yes",OR(Q26="No",Q26="")),X26,IF(AND(OR(W26="No",W26=""),Q26="Yes"),R26,0))))</f>
        <v>0</v>
      </c>
      <c r="AD26" s="69"/>
      <c r="AE26" s="69"/>
      <c r="AF26" t="str">
        <f>IF(AD26="Monthly",Table3[[#This Row],[Assessed Term]]*12,IF(AD26="quarterly",Table3[[#This Row],[Assessed Term]]*4,IF(AD26="annually",Table3[[#This Row],[Assessed Term]]*1,IF(AD26="weekly",Table3[[#This Row],[Assessed Term]]*52,IF(AD26="semiannually",Table3[[#This Row],[Assessed Term]]*2," ")))))</f>
        <v xml:space="preserve"> </v>
      </c>
      <c r="AG26" s="69"/>
      <c r="AH26" s="69"/>
      <c r="AI26" s="71"/>
      <c r="AJ26" s="71"/>
      <c r="AK26" s="71"/>
      <c r="AL26" s="69"/>
      <c r="AM26" s="69"/>
      <c r="AN26" s="119"/>
      <c r="AO26" s="76" t="b">
        <f>IF(K26 = "Lease",+PV(AN26/(AF26/Table3[[#This Row],[Assessed Term]]),AF26,-AI26,0,IF(AE26="Beginning",1,0)))</f>
        <v>0</v>
      </c>
      <c r="AP26" s="69"/>
      <c r="AQ26" s="76">
        <f t="shared" si="4"/>
        <v>0</v>
      </c>
      <c r="AR26" s="72"/>
    </row>
    <row r="27" spans="1:44">
      <c r="A27" s="69"/>
      <c r="B27" s="70"/>
      <c r="C27" s="69"/>
      <c r="D27" s="69"/>
      <c r="E27" s="69"/>
      <c r="F27" s="69"/>
      <c r="G27" s="69"/>
      <c r="H27" s="69"/>
      <c r="I27" s="69"/>
      <c r="J27" s="69"/>
      <c r="K27" t="str">
        <f t="shared" si="0"/>
        <v>Not a Lease</v>
      </c>
      <c r="L27" s="69"/>
      <c r="M27" s="69"/>
      <c r="N27" s="69"/>
      <c r="O27" s="69"/>
      <c r="P27" s="69"/>
      <c r="Q27" s="69"/>
      <c r="R27" s="69"/>
      <c r="S27" s="69"/>
      <c r="T27" s="69"/>
      <c r="U27" s="69"/>
      <c r="V27" s="69"/>
      <c r="W27" s="69"/>
      <c r="X27" s="69"/>
      <c r="Y27" s="69"/>
      <c r="Z27">
        <f t="shared" si="2"/>
        <v>0</v>
      </c>
      <c r="AA27">
        <f t="shared" si="1"/>
        <v>0</v>
      </c>
      <c r="AB27">
        <f t="shared" si="3"/>
        <v>0</v>
      </c>
      <c r="AC27">
        <f>+IF(Table3[[#This Row],[Do Both Parties have to agree for extension to occur?]]="Yes",0,IF(AND(W27="Yes",Q27="Yes"),IF(R27=X27,R27,MAX(R27,X27)),IF(AND(W27="Yes",OR(Q27="No",Q27="")),X27,IF(AND(OR(W27="No",W27=""),Q27="Yes"),R27,0))))</f>
        <v>0</v>
      </c>
      <c r="AD27" s="69"/>
      <c r="AE27" s="69"/>
      <c r="AF27" t="str">
        <f>IF(AD27="Monthly",Table3[[#This Row],[Assessed Term]]*12,IF(AD27="quarterly",Table3[[#This Row],[Assessed Term]]*4,IF(AD27="annually",Table3[[#This Row],[Assessed Term]]*1,IF(AD27="weekly",Table3[[#This Row],[Assessed Term]]*52,IF(AD27="semiannually",Table3[[#This Row],[Assessed Term]]*2," ")))))</f>
        <v xml:space="preserve"> </v>
      </c>
      <c r="AG27" s="69"/>
      <c r="AH27" s="69"/>
      <c r="AI27" s="71"/>
      <c r="AJ27" s="71"/>
      <c r="AK27" s="71"/>
      <c r="AL27" s="69"/>
      <c r="AM27" s="69"/>
      <c r="AN27" s="119"/>
      <c r="AO27" s="76" t="b">
        <f>IF(K27 = "Lease",+PV(AN27/(AF27/Table3[[#This Row],[Assessed Term]]),AF27,-AI27,0,IF(AE27="Beginning",1,0)))</f>
        <v>0</v>
      </c>
      <c r="AP27" s="69"/>
      <c r="AQ27" s="76">
        <f t="shared" si="4"/>
        <v>0</v>
      </c>
      <c r="AR27" s="72"/>
    </row>
    <row r="28" spans="1:44">
      <c r="A28" s="69"/>
      <c r="B28" s="70"/>
      <c r="C28" s="69"/>
      <c r="D28" s="69"/>
      <c r="E28" s="69"/>
      <c r="F28" s="69"/>
      <c r="G28" s="69"/>
      <c r="H28" s="69"/>
      <c r="I28" s="69"/>
      <c r="J28" s="69"/>
      <c r="K28" t="str">
        <f t="shared" si="0"/>
        <v>Not a Lease</v>
      </c>
      <c r="L28" s="69"/>
      <c r="M28" s="69"/>
      <c r="N28" s="69"/>
      <c r="O28" s="69"/>
      <c r="P28" s="69"/>
      <c r="Q28" s="69"/>
      <c r="R28" s="69"/>
      <c r="S28" s="69"/>
      <c r="T28" s="69"/>
      <c r="U28" s="69"/>
      <c r="V28" s="69"/>
      <c r="W28" s="69"/>
      <c r="X28" s="69"/>
      <c r="Y28" s="69"/>
      <c r="Z28">
        <f t="shared" si="2"/>
        <v>0</v>
      </c>
      <c r="AA28">
        <f t="shared" si="1"/>
        <v>0</v>
      </c>
      <c r="AB28">
        <f t="shared" si="3"/>
        <v>0</v>
      </c>
      <c r="AC28">
        <f>+IF(Table3[[#This Row],[Do Both Parties have to agree for extension to occur?]]="Yes",0,IF(AND(W28="Yes",Q28="Yes"),IF(R28=X28,R28,MAX(R28,X28)),IF(AND(W28="Yes",OR(Q28="No",Q28="")),X28,IF(AND(OR(W28="No",W28=""),Q28="Yes"),R28,0))))</f>
        <v>0</v>
      </c>
      <c r="AD28" s="69"/>
      <c r="AE28" s="69"/>
      <c r="AF28" t="str">
        <f>IF(AD28="Monthly",Table3[[#This Row],[Assessed Term]]*12,IF(AD28="quarterly",Table3[[#This Row],[Assessed Term]]*4,IF(AD28="annually",Table3[[#This Row],[Assessed Term]]*1,IF(AD28="weekly",Table3[[#This Row],[Assessed Term]]*52,IF(AD28="semiannually",Table3[[#This Row],[Assessed Term]]*2," ")))))</f>
        <v xml:space="preserve"> </v>
      </c>
      <c r="AG28" s="69"/>
      <c r="AH28" s="69"/>
      <c r="AI28" s="71"/>
      <c r="AJ28" s="71"/>
      <c r="AK28" s="71"/>
      <c r="AL28" s="69"/>
      <c r="AM28" s="69"/>
      <c r="AN28" s="119"/>
      <c r="AO28" s="76" t="b">
        <f>IF(K28 = "Lease",+PV(AN28/(AF28/Table3[[#This Row],[Assessed Term]]),AF28,-AI28,0,IF(AE28="Beginning",1,0)))</f>
        <v>0</v>
      </c>
      <c r="AP28" s="69"/>
      <c r="AQ28" s="76">
        <f t="shared" si="4"/>
        <v>0</v>
      </c>
      <c r="AR28" s="72"/>
    </row>
    <row r="29" spans="1:44">
      <c r="A29" s="69"/>
      <c r="B29" s="70"/>
      <c r="C29" s="69"/>
      <c r="D29" s="69"/>
      <c r="E29" s="69"/>
      <c r="F29" s="69"/>
      <c r="G29" s="69"/>
      <c r="H29" s="69"/>
      <c r="I29" s="69"/>
      <c r="J29" s="69"/>
      <c r="K29" t="str">
        <f t="shared" si="0"/>
        <v>Not a Lease</v>
      </c>
      <c r="L29" s="69"/>
      <c r="M29" s="69"/>
      <c r="N29" s="69"/>
      <c r="O29" s="69"/>
      <c r="P29" s="69"/>
      <c r="Q29" s="69"/>
      <c r="R29" s="69"/>
      <c r="S29" s="69"/>
      <c r="T29" s="69"/>
      <c r="U29" s="69"/>
      <c r="V29" s="69"/>
      <c r="W29" s="69"/>
      <c r="X29" s="69"/>
      <c r="Y29" s="69"/>
      <c r="Z29">
        <f t="shared" si="2"/>
        <v>0</v>
      </c>
      <c r="AA29">
        <f t="shared" si="1"/>
        <v>0</v>
      </c>
      <c r="AB29">
        <f t="shared" si="3"/>
        <v>0</v>
      </c>
      <c r="AC29">
        <f>+IF(Table3[[#This Row],[Do Both Parties have to agree for extension to occur?]]="Yes",0,IF(AND(W29="Yes",Q29="Yes"),IF(R29=X29,R29,MAX(R29,X29)),IF(AND(W29="Yes",OR(Q29="No",Q29="")),X29,IF(AND(OR(W29="No",W29=""),Q29="Yes"),R29,0))))</f>
        <v>0</v>
      </c>
      <c r="AD29" s="69"/>
      <c r="AE29" s="69"/>
      <c r="AF29" t="str">
        <f>IF(AD29="Monthly",Table3[[#This Row],[Assessed Term]]*12,IF(AD29="quarterly",Table3[[#This Row],[Assessed Term]]*4,IF(AD29="annually",Table3[[#This Row],[Assessed Term]]*1,IF(AD29="weekly",Table3[[#This Row],[Assessed Term]]*52,IF(AD29="semiannually",Table3[[#This Row],[Assessed Term]]*2," ")))))</f>
        <v xml:space="preserve"> </v>
      </c>
      <c r="AG29" s="69"/>
      <c r="AH29" s="69"/>
      <c r="AI29" s="71"/>
      <c r="AJ29" s="71"/>
      <c r="AK29" s="71"/>
      <c r="AL29" s="69"/>
      <c r="AM29" s="69"/>
      <c r="AN29" s="119"/>
      <c r="AO29" s="76" t="b">
        <f>IF(K29 = "Lease",+PV(AN29/(AF29/Table3[[#This Row],[Assessed Term]]),AF29,-AI29,0,IF(AE29="Beginning",1,0)))</f>
        <v>0</v>
      </c>
      <c r="AP29" s="69"/>
      <c r="AQ29" s="76">
        <f t="shared" si="4"/>
        <v>0</v>
      </c>
      <c r="AR29" s="72"/>
    </row>
    <row r="30" spans="1:44">
      <c r="A30" s="69"/>
      <c r="B30" s="70"/>
      <c r="C30" s="69"/>
      <c r="D30" s="69"/>
      <c r="E30" s="69"/>
      <c r="F30" s="69"/>
      <c r="G30" s="69"/>
      <c r="H30" s="69"/>
      <c r="I30" s="69"/>
      <c r="J30" s="69"/>
      <c r="K30" t="str">
        <f t="shared" si="0"/>
        <v>Not a Lease</v>
      </c>
      <c r="L30" s="69"/>
      <c r="M30" s="69"/>
      <c r="N30" s="69"/>
      <c r="O30" s="69"/>
      <c r="P30" s="69"/>
      <c r="Q30" s="69"/>
      <c r="R30" s="69"/>
      <c r="S30" s="69"/>
      <c r="T30" s="69"/>
      <c r="U30" s="69"/>
      <c r="V30" s="69"/>
      <c r="W30" s="69"/>
      <c r="X30" s="69"/>
      <c r="Y30" s="69"/>
      <c r="Z30">
        <f t="shared" si="2"/>
        <v>0</v>
      </c>
      <c r="AA30">
        <f t="shared" si="1"/>
        <v>0</v>
      </c>
      <c r="AB30">
        <f t="shared" si="3"/>
        <v>0</v>
      </c>
      <c r="AC30">
        <f>+IF(Table3[[#This Row],[Do Both Parties have to agree for extension to occur?]]="Yes",0,IF(AND(W30="Yes",Q30="Yes"),IF(R30=X30,R30,MAX(R30,X30)),IF(AND(W30="Yes",OR(Q30="No",Q30="")),X30,IF(AND(OR(W30="No",W30=""),Q30="Yes"),R30,0))))</f>
        <v>0</v>
      </c>
      <c r="AD30" s="69"/>
      <c r="AE30" s="69"/>
      <c r="AF30" t="str">
        <f>IF(AD30="Monthly",Table3[[#This Row],[Assessed Term]]*12,IF(AD30="quarterly",Table3[[#This Row],[Assessed Term]]*4,IF(AD30="annually",Table3[[#This Row],[Assessed Term]]*1,IF(AD30="weekly",Table3[[#This Row],[Assessed Term]]*52,IF(AD30="semiannually",Table3[[#This Row],[Assessed Term]]*2," ")))))</f>
        <v xml:space="preserve"> </v>
      </c>
      <c r="AG30" s="69"/>
      <c r="AH30" s="69"/>
      <c r="AI30" s="71"/>
      <c r="AJ30" s="71"/>
      <c r="AK30" s="71"/>
      <c r="AL30" s="69"/>
      <c r="AM30" s="69"/>
      <c r="AN30" s="119"/>
      <c r="AO30" s="76" t="b">
        <f>IF(K30 = "Lease",+PV(AN30/(AF30/Table3[[#This Row],[Assessed Term]]),AF30,-AI30,0,IF(AE30="Beginning",1,0)))</f>
        <v>0</v>
      </c>
      <c r="AP30" s="69"/>
      <c r="AQ30" s="76">
        <f t="shared" si="4"/>
        <v>0</v>
      </c>
      <c r="AR30" s="72"/>
    </row>
    <row r="31" spans="1:44">
      <c r="A31" s="69"/>
      <c r="B31" s="70"/>
      <c r="C31" s="69"/>
      <c r="D31" s="69"/>
      <c r="E31" s="69"/>
      <c r="F31" s="69"/>
      <c r="G31" s="69"/>
      <c r="H31" s="69"/>
      <c r="I31" s="69"/>
      <c r="J31" s="69"/>
      <c r="K31" t="str">
        <f t="shared" si="0"/>
        <v>Not a Lease</v>
      </c>
      <c r="L31" s="69"/>
      <c r="M31" s="69"/>
      <c r="N31" s="69"/>
      <c r="O31" s="69"/>
      <c r="P31" s="69"/>
      <c r="Q31" s="69"/>
      <c r="R31" s="69"/>
      <c r="S31" s="69"/>
      <c r="T31" s="69"/>
      <c r="U31" s="69"/>
      <c r="V31" s="69"/>
      <c r="W31" s="69"/>
      <c r="X31" s="69"/>
      <c r="Y31" s="69"/>
      <c r="Z31">
        <f t="shared" si="2"/>
        <v>0</v>
      </c>
      <c r="AA31">
        <f t="shared" si="1"/>
        <v>0</v>
      </c>
      <c r="AB31">
        <f t="shared" si="3"/>
        <v>0</v>
      </c>
      <c r="AC31">
        <f>+IF(Table3[[#This Row],[Do Both Parties have to agree for extension to occur?]]="Yes",0,IF(AND(W31="Yes",Q31="Yes"),IF(R31=X31,R31,MAX(R31,X31)),IF(AND(W31="Yes",OR(Q31="No",Q31="")),X31,IF(AND(OR(W31="No",W31=""),Q31="Yes"),R31,0))))</f>
        <v>0</v>
      </c>
      <c r="AD31" s="69"/>
      <c r="AE31" s="69"/>
      <c r="AF31" t="str">
        <f>IF(AD31="Monthly",Table3[[#This Row],[Assessed Term]]*12,IF(AD31="quarterly",Table3[[#This Row],[Assessed Term]]*4,IF(AD31="annually",Table3[[#This Row],[Assessed Term]]*1,IF(AD31="weekly",Table3[[#This Row],[Assessed Term]]*52,IF(AD31="semiannually",Table3[[#This Row],[Assessed Term]]*2," ")))))</f>
        <v xml:space="preserve"> </v>
      </c>
      <c r="AG31" s="69"/>
      <c r="AH31" s="69"/>
      <c r="AI31" s="71"/>
      <c r="AJ31" s="71"/>
      <c r="AK31" s="71"/>
      <c r="AL31" s="69"/>
      <c r="AM31" s="69"/>
      <c r="AN31" s="119"/>
      <c r="AO31" s="76" t="b">
        <f>IF(K31 = "Lease",+PV(AN31/(AF31/Table3[[#This Row],[Assessed Term]]),AF31,-AI31,0,IF(AE31="Beginning",1,0)))</f>
        <v>0</v>
      </c>
      <c r="AP31" s="69"/>
      <c r="AQ31" s="76">
        <f t="shared" si="4"/>
        <v>0</v>
      </c>
      <c r="AR31" s="72"/>
    </row>
    <row r="32" spans="1:44">
      <c r="A32" s="69"/>
      <c r="B32" s="70"/>
      <c r="C32" s="69"/>
      <c r="D32" s="69"/>
      <c r="E32" s="69"/>
      <c r="F32" s="69"/>
      <c r="G32" s="69"/>
      <c r="H32" s="69"/>
      <c r="I32" s="69"/>
      <c r="J32" s="69"/>
      <c r="K32" t="str">
        <f t="shared" si="0"/>
        <v>Not a Lease</v>
      </c>
      <c r="L32" s="69"/>
      <c r="M32" s="69"/>
      <c r="N32" s="69"/>
      <c r="O32" s="69"/>
      <c r="P32" s="69"/>
      <c r="Q32" s="69"/>
      <c r="R32" s="69"/>
      <c r="S32" s="69"/>
      <c r="T32" s="69"/>
      <c r="U32" s="69"/>
      <c r="V32" s="69"/>
      <c r="W32" s="69"/>
      <c r="X32" s="69"/>
      <c r="Y32" s="69"/>
      <c r="Z32">
        <f t="shared" si="2"/>
        <v>0</v>
      </c>
      <c r="AA32">
        <f t="shared" si="1"/>
        <v>0</v>
      </c>
      <c r="AB32">
        <f t="shared" si="3"/>
        <v>0</v>
      </c>
      <c r="AC32">
        <f>+IF(Table3[[#This Row],[Do Both Parties have to agree for extension to occur?]]="Yes",0,IF(AND(W32="Yes",Q32="Yes"),IF(R32=X32,R32,MAX(R32,X32)),IF(AND(W32="Yes",OR(Q32="No",Q32="")),X32,IF(AND(OR(W32="No",W32=""),Q32="Yes"),R32,0))))</f>
        <v>0</v>
      </c>
      <c r="AD32" s="69"/>
      <c r="AE32" s="69"/>
      <c r="AF32" t="str">
        <f>IF(AD32="Monthly",Table3[[#This Row],[Assessed Term]]*12,IF(AD32="quarterly",Table3[[#This Row],[Assessed Term]]*4,IF(AD32="annually",Table3[[#This Row],[Assessed Term]]*1,IF(AD32="weekly",Table3[[#This Row],[Assessed Term]]*52,IF(AD32="semiannually",Table3[[#This Row],[Assessed Term]]*2," ")))))</f>
        <v xml:space="preserve"> </v>
      </c>
      <c r="AG32" s="69"/>
      <c r="AH32" s="69"/>
      <c r="AI32" s="71"/>
      <c r="AJ32" s="71"/>
      <c r="AK32" s="71"/>
      <c r="AL32" s="69"/>
      <c r="AM32" s="69"/>
      <c r="AN32" s="119"/>
      <c r="AO32" s="76" t="b">
        <f>IF(K32 = "Lease",+PV(AN32/(AF32/Table3[[#This Row],[Assessed Term]]),AF32,-AI32,0,IF(AE32="Beginning",1,0)))</f>
        <v>0</v>
      </c>
      <c r="AP32" s="69"/>
      <c r="AQ32" s="76">
        <f t="shared" si="4"/>
        <v>0</v>
      </c>
      <c r="AR32" s="72"/>
    </row>
    <row r="33" spans="1:44">
      <c r="A33" s="69"/>
      <c r="B33" s="70"/>
      <c r="C33" s="69"/>
      <c r="D33" s="69"/>
      <c r="E33" s="69"/>
      <c r="F33" s="69"/>
      <c r="G33" s="69"/>
      <c r="H33" s="69"/>
      <c r="I33" s="69"/>
      <c r="J33" s="69"/>
      <c r="K33" t="str">
        <f t="shared" si="0"/>
        <v>Not a Lease</v>
      </c>
      <c r="L33" s="69"/>
      <c r="M33" s="69"/>
      <c r="N33" s="69"/>
      <c r="O33" s="69"/>
      <c r="P33" s="69"/>
      <c r="Q33" s="69"/>
      <c r="R33" s="69"/>
      <c r="S33" s="69"/>
      <c r="T33" s="69"/>
      <c r="U33" s="69"/>
      <c r="V33" s="69"/>
      <c r="W33" s="69"/>
      <c r="X33" s="69"/>
      <c r="Y33" s="69"/>
      <c r="Z33">
        <f t="shared" si="2"/>
        <v>0</v>
      </c>
      <c r="AA33">
        <f t="shared" si="1"/>
        <v>0</v>
      </c>
      <c r="AB33">
        <f t="shared" si="3"/>
        <v>0</v>
      </c>
      <c r="AC33">
        <f>+IF(Table3[[#This Row],[Do Both Parties have to agree for extension to occur?]]="Yes",0,IF(AND(W33="Yes",Q33="Yes"),IF(R33=X33,R33,MAX(R33,X33)),IF(AND(W33="Yes",OR(Q33="No",Q33="")),X33,IF(AND(OR(W33="No",W33=""),Q33="Yes"),R33,0))))</f>
        <v>0</v>
      </c>
      <c r="AD33" s="69"/>
      <c r="AE33" s="69"/>
      <c r="AF33" t="str">
        <f>IF(AD33="Monthly",Table3[[#This Row],[Assessed Term]]*12,IF(AD33="quarterly",Table3[[#This Row],[Assessed Term]]*4,IF(AD33="annually",Table3[[#This Row],[Assessed Term]]*1,IF(AD33="weekly",Table3[[#This Row],[Assessed Term]]*52,IF(AD33="semiannually",Table3[[#This Row],[Assessed Term]]*2," ")))))</f>
        <v xml:space="preserve"> </v>
      </c>
      <c r="AG33" s="69"/>
      <c r="AH33" s="69"/>
      <c r="AI33" s="71"/>
      <c r="AJ33" s="71"/>
      <c r="AK33" s="71"/>
      <c r="AL33" s="69"/>
      <c r="AM33" s="69"/>
      <c r="AN33" s="119"/>
      <c r="AO33" s="76" t="b">
        <f>IF(K33 = "Lease",+PV(AN33/(AF33/Table3[[#This Row],[Assessed Term]]),AF33,-AI33,0,IF(AE33="Beginning",1,0)))</f>
        <v>0</v>
      </c>
      <c r="AP33" s="69"/>
      <c r="AQ33" s="76">
        <f t="shared" si="4"/>
        <v>0</v>
      </c>
      <c r="AR33" s="72"/>
    </row>
    <row r="34" spans="1:44">
      <c r="A34" s="69"/>
      <c r="B34" s="70"/>
      <c r="C34" s="69"/>
      <c r="D34" s="69"/>
      <c r="E34" s="69"/>
      <c r="F34" s="69"/>
      <c r="G34" s="69"/>
      <c r="H34" s="69"/>
      <c r="I34" s="69"/>
      <c r="J34" s="69"/>
      <c r="K34" t="str">
        <f t="shared" si="0"/>
        <v>Not a Lease</v>
      </c>
      <c r="L34" s="69"/>
      <c r="M34" s="69"/>
      <c r="N34" s="69"/>
      <c r="O34" s="69"/>
      <c r="P34" s="69"/>
      <c r="Q34" s="69"/>
      <c r="R34" s="69"/>
      <c r="S34" s="69"/>
      <c r="T34" s="69"/>
      <c r="U34" s="69"/>
      <c r="V34" s="69"/>
      <c r="W34" s="69"/>
      <c r="X34" s="69"/>
      <c r="Y34" s="69"/>
      <c r="Z34">
        <f t="shared" si="2"/>
        <v>0</v>
      </c>
      <c r="AA34">
        <f t="shared" si="1"/>
        <v>0</v>
      </c>
      <c r="AB34">
        <f t="shared" si="3"/>
        <v>0</v>
      </c>
      <c r="AC34">
        <f>+IF(Table3[[#This Row],[Do Both Parties have to agree for extension to occur?]]="Yes",0,IF(AND(W34="Yes",Q34="Yes"),IF(R34=X34,R34,MAX(R34,X34)),IF(AND(W34="Yes",OR(Q34="No",Q34="")),X34,IF(AND(OR(W34="No",W34=""),Q34="Yes"),R34,0))))</f>
        <v>0</v>
      </c>
      <c r="AD34" s="69"/>
      <c r="AE34" s="69"/>
      <c r="AF34" t="str">
        <f>IF(AD34="Monthly",Table3[[#This Row],[Assessed Term]]*12,IF(AD34="quarterly",Table3[[#This Row],[Assessed Term]]*4,IF(AD34="annually",Table3[[#This Row],[Assessed Term]]*1,IF(AD34="weekly",Table3[[#This Row],[Assessed Term]]*52,IF(AD34="semiannually",Table3[[#This Row],[Assessed Term]]*2," ")))))</f>
        <v xml:space="preserve"> </v>
      </c>
      <c r="AG34" s="69"/>
      <c r="AH34" s="69"/>
      <c r="AI34" s="71"/>
      <c r="AJ34" s="71"/>
      <c r="AK34" s="71"/>
      <c r="AL34" s="69"/>
      <c r="AM34" s="69"/>
      <c r="AN34" s="119"/>
      <c r="AO34" s="76" t="b">
        <f>IF(K34 = "Lease",+PV(AN34/(AF34/Table3[[#This Row],[Assessed Term]]),AF34,-AI34,0,IF(AE34="Beginning",1,0)))</f>
        <v>0</v>
      </c>
      <c r="AP34" s="69"/>
      <c r="AQ34" s="76">
        <f t="shared" si="4"/>
        <v>0</v>
      </c>
      <c r="AR34" s="72"/>
    </row>
    <row r="35" spans="1:44">
      <c r="A35" s="69"/>
      <c r="B35" s="70"/>
      <c r="C35" s="69"/>
      <c r="D35" s="69"/>
      <c r="E35" s="69"/>
      <c r="F35" s="69"/>
      <c r="G35" s="69"/>
      <c r="H35" s="69"/>
      <c r="I35" s="69"/>
      <c r="J35" s="69"/>
      <c r="K35" t="str">
        <f t="shared" si="0"/>
        <v>Not a Lease</v>
      </c>
      <c r="L35" s="69"/>
      <c r="M35" s="69"/>
      <c r="N35" s="69"/>
      <c r="O35" s="69"/>
      <c r="P35" s="69"/>
      <c r="Q35" s="69"/>
      <c r="R35" s="69"/>
      <c r="S35" s="69"/>
      <c r="T35" s="69"/>
      <c r="U35" s="69"/>
      <c r="V35" s="69"/>
      <c r="W35" s="69"/>
      <c r="X35" s="69"/>
      <c r="Y35" s="69"/>
      <c r="Z35">
        <f t="shared" si="2"/>
        <v>0</v>
      </c>
      <c r="AA35">
        <f t="shared" si="1"/>
        <v>0</v>
      </c>
      <c r="AB35">
        <f t="shared" si="3"/>
        <v>0</v>
      </c>
      <c r="AC35">
        <f>+IF(Table3[[#This Row],[Do Both Parties have to agree for extension to occur?]]="Yes",0,IF(AND(W35="Yes",Q35="Yes"),IF(R35=X35,R35,MAX(R35,X35)),IF(AND(W35="Yes",OR(Q35="No",Q35="")),X35,IF(AND(OR(W35="No",W35=""),Q35="Yes"),R35,0))))</f>
        <v>0</v>
      </c>
      <c r="AD35" s="69"/>
      <c r="AE35" s="69"/>
      <c r="AF35" t="str">
        <f>IF(AD35="Monthly",Table3[[#This Row],[Assessed Term]]*12,IF(AD35="quarterly",Table3[[#This Row],[Assessed Term]]*4,IF(AD35="annually",Table3[[#This Row],[Assessed Term]]*1,IF(AD35="weekly",Table3[[#This Row],[Assessed Term]]*52,IF(AD35="semiannually",Table3[[#This Row],[Assessed Term]]*2," ")))))</f>
        <v xml:space="preserve"> </v>
      </c>
      <c r="AG35" s="69"/>
      <c r="AH35" s="69"/>
      <c r="AI35" s="71"/>
      <c r="AJ35" s="71"/>
      <c r="AK35" s="71"/>
      <c r="AL35" s="69"/>
      <c r="AM35" s="69"/>
      <c r="AN35" s="119"/>
      <c r="AO35" s="76" t="b">
        <f>IF(K35 = "Lease",+PV(AN35/(AF35/Table3[[#This Row],[Assessed Term]]),AF35,-AI35,0,IF(AE35="Beginning",1,0)))</f>
        <v>0</v>
      </c>
      <c r="AP35" s="69"/>
      <c r="AQ35" s="76">
        <f t="shared" si="4"/>
        <v>0</v>
      </c>
      <c r="AR35" s="72"/>
    </row>
    <row r="36" spans="1:44">
      <c r="A36" s="69"/>
      <c r="B36" s="70"/>
      <c r="C36" s="69"/>
      <c r="D36" s="69"/>
      <c r="E36" s="69"/>
      <c r="F36" s="69"/>
      <c r="G36" s="69"/>
      <c r="H36" s="69"/>
      <c r="I36" s="69"/>
      <c r="J36" s="69"/>
      <c r="K36" t="str">
        <f t="shared" si="0"/>
        <v>Not a Lease</v>
      </c>
      <c r="L36" s="69"/>
      <c r="M36" s="69"/>
      <c r="N36" s="69"/>
      <c r="O36" s="69"/>
      <c r="P36" s="69"/>
      <c r="Q36" s="69"/>
      <c r="R36" s="69"/>
      <c r="S36" s="69"/>
      <c r="T36" s="69"/>
      <c r="U36" s="69"/>
      <c r="V36" s="69"/>
      <c r="W36" s="69"/>
      <c r="X36" s="69"/>
      <c r="Y36" s="69"/>
      <c r="Z36">
        <f t="shared" ref="Z36:Z67" si="5">+IF(AB36=0,AA36+AC36,AB36)</f>
        <v>0</v>
      </c>
      <c r="AA36">
        <f t="shared" si="1"/>
        <v>0</v>
      </c>
      <c r="AB36">
        <f t="shared" si="3"/>
        <v>0</v>
      </c>
      <c r="AC36">
        <f>+IF(Table3[[#This Row],[Do Both Parties have to agree for extension to occur?]]="Yes",0,IF(AND(W36="Yes",Q36="Yes"),IF(R36=X36,R36,MAX(R36,X36)),IF(AND(W36="Yes",OR(Q36="No",Q36="")),X36,IF(AND(OR(W36="No",W36=""),Q36="Yes"),R36,0))))</f>
        <v>0</v>
      </c>
      <c r="AD36" s="69"/>
      <c r="AE36" s="69"/>
      <c r="AF36" t="str">
        <f>IF(AD36="Monthly",Table3[[#This Row],[Assessed Term]]*12,IF(AD36="quarterly",Table3[[#This Row],[Assessed Term]]*4,IF(AD36="annually",Table3[[#This Row],[Assessed Term]]*1,IF(AD36="weekly",Table3[[#This Row],[Assessed Term]]*52,IF(AD36="semiannually",Table3[[#This Row],[Assessed Term]]*2," ")))))</f>
        <v xml:space="preserve"> </v>
      </c>
      <c r="AG36" s="69"/>
      <c r="AH36" s="69"/>
      <c r="AI36" s="71"/>
      <c r="AJ36" s="71"/>
      <c r="AK36" s="71"/>
      <c r="AL36" s="69"/>
      <c r="AM36" s="69"/>
      <c r="AN36" s="119"/>
      <c r="AO36" s="76" t="b">
        <f>IF(K36 = "Lease",+PV(AN36/(AF36/Table3[[#This Row],[Assessed Term]]),AF36,-AI36,0,IF(AE36="Beginning",1,0)))</f>
        <v>0</v>
      </c>
      <c r="AP36" s="69"/>
      <c r="AQ36" s="76">
        <f t="shared" ref="AQ36:AQ67" si="6">+IF(AP36 = "no",AO36,0)</f>
        <v>0</v>
      </c>
      <c r="AR36" s="72"/>
    </row>
    <row r="37" spans="1:44">
      <c r="A37" s="69"/>
      <c r="B37" s="70"/>
      <c r="C37" s="69"/>
      <c r="D37" s="69"/>
      <c r="E37" s="69"/>
      <c r="F37" s="69"/>
      <c r="G37" s="69"/>
      <c r="H37" s="69"/>
      <c r="I37" s="69"/>
      <c r="J37" s="69"/>
      <c r="K37" t="str">
        <f t="shared" si="0"/>
        <v>Not a Lease</v>
      </c>
      <c r="L37" s="69"/>
      <c r="M37" s="69"/>
      <c r="N37" s="69"/>
      <c r="O37" s="69"/>
      <c r="P37" s="69"/>
      <c r="Q37" s="69"/>
      <c r="R37" s="69"/>
      <c r="S37" s="69"/>
      <c r="T37" s="69"/>
      <c r="U37" s="69"/>
      <c r="V37" s="69"/>
      <c r="W37" s="69"/>
      <c r="X37" s="69"/>
      <c r="Y37" s="69"/>
      <c r="Z37">
        <f t="shared" si="5"/>
        <v>0</v>
      </c>
      <c r="AA37">
        <f t="shared" si="1"/>
        <v>0</v>
      </c>
      <c r="AB37">
        <f t="shared" si="3"/>
        <v>0</v>
      </c>
      <c r="AC37">
        <f>+IF(Table3[[#This Row],[Do Both Parties have to agree for extension to occur?]]="Yes",0,IF(AND(W37="Yes",Q37="Yes"),IF(R37=X37,R37,MAX(R37,X37)),IF(AND(W37="Yes",OR(Q37="No",Q37="")),X37,IF(AND(OR(W37="No",W37=""),Q37="Yes"),R37,0))))</f>
        <v>0</v>
      </c>
      <c r="AD37" s="69"/>
      <c r="AE37" s="69"/>
      <c r="AF37" t="str">
        <f>IF(AD37="Monthly",Table3[[#This Row],[Assessed Term]]*12,IF(AD37="quarterly",Table3[[#This Row],[Assessed Term]]*4,IF(AD37="annually",Table3[[#This Row],[Assessed Term]]*1,IF(AD37="weekly",Table3[[#This Row],[Assessed Term]]*52,IF(AD37="semiannually",Table3[[#This Row],[Assessed Term]]*2," ")))))</f>
        <v xml:space="preserve"> </v>
      </c>
      <c r="AG37" s="69"/>
      <c r="AH37" s="69"/>
      <c r="AI37" s="71"/>
      <c r="AJ37" s="71"/>
      <c r="AK37" s="71"/>
      <c r="AL37" s="69"/>
      <c r="AM37" s="69"/>
      <c r="AN37" s="119"/>
      <c r="AO37" s="76" t="b">
        <f>IF(K37 = "Lease",+PV(AN37/(AF37/Table3[[#This Row],[Assessed Term]]),AF37,-AI37,0,IF(AE37="Beginning",1,0)))</f>
        <v>0</v>
      </c>
      <c r="AP37" s="69"/>
      <c r="AQ37" s="76">
        <f t="shared" si="6"/>
        <v>0</v>
      </c>
      <c r="AR37" s="72"/>
    </row>
    <row r="38" spans="1:44">
      <c r="A38" s="69"/>
      <c r="B38" s="70"/>
      <c r="C38" s="69"/>
      <c r="D38" s="69"/>
      <c r="E38" s="69"/>
      <c r="F38" s="69"/>
      <c r="G38" s="69"/>
      <c r="H38" s="69"/>
      <c r="I38" s="69"/>
      <c r="J38" s="69"/>
      <c r="K38" t="str">
        <f t="shared" si="0"/>
        <v>Not a Lease</v>
      </c>
      <c r="L38" s="69"/>
      <c r="M38" s="69"/>
      <c r="N38" s="69"/>
      <c r="O38" s="69"/>
      <c r="P38" s="69"/>
      <c r="Q38" s="69"/>
      <c r="R38" s="69"/>
      <c r="S38" s="69"/>
      <c r="T38" s="69"/>
      <c r="U38" s="69"/>
      <c r="V38" s="69"/>
      <c r="W38" s="69"/>
      <c r="X38" s="69"/>
      <c r="Y38" s="69"/>
      <c r="Z38">
        <f t="shared" si="5"/>
        <v>0</v>
      </c>
      <c r="AA38">
        <f t="shared" si="1"/>
        <v>0</v>
      </c>
      <c r="AB38">
        <f t="shared" si="3"/>
        <v>0</v>
      </c>
      <c r="AC38">
        <f>+IF(Table3[[#This Row],[Do Both Parties have to agree for extension to occur?]]="Yes",0,IF(AND(W38="Yes",Q38="Yes"),IF(R38=X38,R38,MAX(R38,X38)),IF(AND(W38="Yes",OR(Q38="No",Q38="")),X38,IF(AND(OR(W38="No",W38=""),Q38="Yes"),R38,0))))</f>
        <v>0</v>
      </c>
      <c r="AD38" s="69"/>
      <c r="AE38" s="69"/>
      <c r="AF38" t="str">
        <f>IF(AD38="Monthly",Table3[[#This Row],[Assessed Term]]*12,IF(AD38="quarterly",Table3[[#This Row],[Assessed Term]]*4,IF(AD38="annually",Table3[[#This Row],[Assessed Term]]*1,IF(AD38="weekly",Table3[[#This Row],[Assessed Term]]*52,IF(AD38="semiannually",Table3[[#This Row],[Assessed Term]]*2," ")))))</f>
        <v xml:space="preserve"> </v>
      </c>
      <c r="AG38" s="69"/>
      <c r="AH38" s="69"/>
      <c r="AI38" s="71"/>
      <c r="AJ38" s="71"/>
      <c r="AK38" s="71"/>
      <c r="AL38" s="69"/>
      <c r="AM38" s="69"/>
      <c r="AN38" s="119"/>
      <c r="AO38" s="76" t="b">
        <f>IF(K38 = "Lease",+PV(AN38/(AF38/Table3[[#This Row],[Assessed Term]]),AF38,-AI38,0,IF(AE38="Beginning",1,0)))</f>
        <v>0</v>
      </c>
      <c r="AP38" s="69"/>
      <c r="AQ38" s="76">
        <f t="shared" si="6"/>
        <v>0</v>
      </c>
      <c r="AR38" s="72"/>
    </row>
    <row r="39" spans="1:44">
      <c r="A39" s="69"/>
      <c r="B39" s="70"/>
      <c r="C39" s="69"/>
      <c r="D39" s="69"/>
      <c r="E39" s="69"/>
      <c r="F39" s="69"/>
      <c r="G39" s="69"/>
      <c r="H39" s="69"/>
      <c r="I39" s="69"/>
      <c r="J39" s="69"/>
      <c r="K39" t="str">
        <f t="shared" si="0"/>
        <v>Not a Lease</v>
      </c>
      <c r="L39" s="69"/>
      <c r="M39" s="69"/>
      <c r="N39" s="69"/>
      <c r="O39" s="69"/>
      <c r="P39" s="69"/>
      <c r="Q39" s="69"/>
      <c r="R39" s="69"/>
      <c r="S39" s="69"/>
      <c r="T39" s="69"/>
      <c r="U39" s="69"/>
      <c r="V39" s="69"/>
      <c r="W39" s="69"/>
      <c r="X39" s="69"/>
      <c r="Y39" s="69"/>
      <c r="Z39">
        <f t="shared" si="5"/>
        <v>0</v>
      </c>
      <c r="AA39">
        <f t="shared" si="1"/>
        <v>0</v>
      </c>
      <c r="AB39">
        <f t="shared" si="3"/>
        <v>0</v>
      </c>
      <c r="AC39">
        <f>+IF(Table3[[#This Row],[Do Both Parties have to agree for extension to occur?]]="Yes",0,IF(AND(W39="Yes",Q39="Yes"),IF(R39=X39,R39,MAX(R39,X39)),IF(AND(W39="Yes",OR(Q39="No",Q39="")),X39,IF(AND(OR(W39="No",W39=""),Q39="Yes"),R39,0))))</f>
        <v>0</v>
      </c>
      <c r="AD39" s="69"/>
      <c r="AE39" s="69"/>
      <c r="AF39" t="str">
        <f>IF(AD39="Monthly",Table3[[#This Row],[Assessed Term]]*12,IF(AD39="quarterly",Table3[[#This Row],[Assessed Term]]*4,IF(AD39="annually",Table3[[#This Row],[Assessed Term]]*1,IF(AD39="weekly",Table3[[#This Row],[Assessed Term]]*52,IF(AD39="semiannually",Table3[[#This Row],[Assessed Term]]*2," ")))))</f>
        <v xml:space="preserve"> </v>
      </c>
      <c r="AG39" s="69"/>
      <c r="AH39" s="69"/>
      <c r="AI39" s="71"/>
      <c r="AJ39" s="71"/>
      <c r="AK39" s="71"/>
      <c r="AL39" s="69"/>
      <c r="AM39" s="69"/>
      <c r="AN39" s="119"/>
      <c r="AO39" s="76" t="b">
        <f>IF(K39 = "Lease",+PV(AN39/(AF39/Table3[[#This Row],[Assessed Term]]),AF39,-AI39,0,IF(AE39="Beginning",1,0)))</f>
        <v>0</v>
      </c>
      <c r="AP39" s="69"/>
      <c r="AQ39" s="76">
        <f t="shared" si="6"/>
        <v>0</v>
      </c>
      <c r="AR39" s="72"/>
    </row>
    <row r="40" spans="1:44">
      <c r="A40" s="69"/>
      <c r="B40" s="70"/>
      <c r="C40" s="69"/>
      <c r="D40" s="69"/>
      <c r="E40" s="69"/>
      <c r="F40" s="69"/>
      <c r="G40" s="69"/>
      <c r="H40" s="69"/>
      <c r="I40" s="69"/>
      <c r="J40" s="69"/>
      <c r="K40" t="str">
        <f t="shared" si="0"/>
        <v>Not a Lease</v>
      </c>
      <c r="L40" s="69"/>
      <c r="M40" s="69"/>
      <c r="N40" s="69"/>
      <c r="O40" s="69"/>
      <c r="P40" s="69"/>
      <c r="Q40" s="69"/>
      <c r="R40" s="69"/>
      <c r="S40" s="69"/>
      <c r="T40" s="69"/>
      <c r="U40" s="69"/>
      <c r="V40" s="69"/>
      <c r="W40" s="69"/>
      <c r="X40" s="69"/>
      <c r="Y40" s="69"/>
      <c r="Z40">
        <f t="shared" si="5"/>
        <v>0</v>
      </c>
      <c r="AA40">
        <f t="shared" si="1"/>
        <v>0</v>
      </c>
      <c r="AB40">
        <f t="shared" si="3"/>
        <v>0</v>
      </c>
      <c r="AC40">
        <f>+IF(Table3[[#This Row],[Do Both Parties have to agree for extension to occur?]]="Yes",0,IF(AND(W40="Yes",Q40="Yes"),IF(R40=X40,R40,MAX(R40,X40)),IF(AND(W40="Yes",OR(Q40="No",Q40="")),X40,IF(AND(OR(W40="No",W40=""),Q40="Yes"),R40,0))))</f>
        <v>0</v>
      </c>
      <c r="AD40" s="69"/>
      <c r="AE40" s="69"/>
      <c r="AF40" t="str">
        <f>IF(AD40="Monthly",Table3[[#This Row],[Assessed Term]]*12,IF(AD40="quarterly",Table3[[#This Row],[Assessed Term]]*4,IF(AD40="annually",Table3[[#This Row],[Assessed Term]]*1,IF(AD40="weekly",Table3[[#This Row],[Assessed Term]]*52,IF(AD40="semiannually",Table3[[#This Row],[Assessed Term]]*2," ")))))</f>
        <v xml:space="preserve"> </v>
      </c>
      <c r="AG40" s="69"/>
      <c r="AH40" s="69"/>
      <c r="AI40" s="71"/>
      <c r="AJ40" s="71"/>
      <c r="AK40" s="71"/>
      <c r="AL40" s="69"/>
      <c r="AM40" s="69"/>
      <c r="AN40" s="119"/>
      <c r="AO40" s="76" t="b">
        <f>IF(K40 = "Lease",+PV(AN40/(AF40/Table3[[#This Row],[Assessed Term]]),AF40,-AI40,0,IF(AE40="Beginning",1,0)))</f>
        <v>0</v>
      </c>
      <c r="AP40" s="69"/>
      <c r="AQ40" s="76">
        <f t="shared" si="6"/>
        <v>0</v>
      </c>
      <c r="AR40" s="72"/>
    </row>
    <row r="41" spans="1:44">
      <c r="A41" s="69"/>
      <c r="B41" s="70"/>
      <c r="C41" s="69"/>
      <c r="D41" s="69"/>
      <c r="E41" s="69"/>
      <c r="F41" s="69"/>
      <c r="G41" s="69"/>
      <c r="H41" s="69"/>
      <c r="I41" s="69"/>
      <c r="J41" s="69"/>
      <c r="K41" t="str">
        <f t="shared" si="0"/>
        <v>Not a Lease</v>
      </c>
      <c r="L41" s="69"/>
      <c r="M41" s="69"/>
      <c r="N41" s="69"/>
      <c r="O41" s="69"/>
      <c r="P41" s="69"/>
      <c r="Q41" s="69"/>
      <c r="R41" s="69"/>
      <c r="S41" s="69"/>
      <c r="T41" s="69"/>
      <c r="U41" s="69"/>
      <c r="V41" s="69"/>
      <c r="W41" s="69"/>
      <c r="X41" s="69"/>
      <c r="Y41" s="69"/>
      <c r="Z41">
        <f t="shared" si="5"/>
        <v>0</v>
      </c>
      <c r="AA41">
        <f t="shared" si="1"/>
        <v>0</v>
      </c>
      <c r="AB41">
        <f t="shared" si="3"/>
        <v>0</v>
      </c>
      <c r="AC41">
        <f>+IF(Table3[[#This Row],[Do Both Parties have to agree for extension to occur?]]="Yes",0,IF(AND(W41="Yes",Q41="Yes"),IF(R41=X41,R41,MAX(R41,X41)),IF(AND(W41="Yes",OR(Q41="No",Q41="")),X41,IF(AND(OR(W41="No",W41=""),Q41="Yes"),R41,0))))</f>
        <v>0</v>
      </c>
      <c r="AD41" s="69"/>
      <c r="AE41" s="69"/>
      <c r="AF41" t="str">
        <f>IF(AD41="Monthly",Table3[[#This Row],[Assessed Term]]*12,IF(AD41="quarterly",Table3[[#This Row],[Assessed Term]]*4,IF(AD41="annually",Table3[[#This Row],[Assessed Term]]*1,IF(AD41="weekly",Table3[[#This Row],[Assessed Term]]*52,IF(AD41="semiannually",Table3[[#This Row],[Assessed Term]]*2," ")))))</f>
        <v xml:space="preserve"> </v>
      </c>
      <c r="AG41" s="69"/>
      <c r="AH41" s="69"/>
      <c r="AI41" s="71"/>
      <c r="AJ41" s="71"/>
      <c r="AK41" s="71"/>
      <c r="AL41" s="69"/>
      <c r="AM41" s="69"/>
      <c r="AN41" s="119"/>
      <c r="AO41" s="76" t="b">
        <f>IF(K41 = "Lease",+PV(AN41/(AF41/Table3[[#This Row],[Assessed Term]]),AF41,-AI41,0,IF(AE41="Beginning",1,0)))</f>
        <v>0</v>
      </c>
      <c r="AP41" s="69"/>
      <c r="AQ41" s="76">
        <f t="shared" si="6"/>
        <v>0</v>
      </c>
      <c r="AR41" s="72"/>
    </row>
    <row r="42" spans="1:44">
      <c r="A42" s="69"/>
      <c r="B42" s="70"/>
      <c r="C42" s="69"/>
      <c r="D42" s="69"/>
      <c r="E42" s="69"/>
      <c r="F42" s="69"/>
      <c r="G42" s="69"/>
      <c r="H42" s="69"/>
      <c r="I42" s="69"/>
      <c r="J42" s="69"/>
      <c r="K42" t="str">
        <f t="shared" si="0"/>
        <v>Not a Lease</v>
      </c>
      <c r="L42" s="69"/>
      <c r="M42" s="69"/>
      <c r="N42" s="69"/>
      <c r="O42" s="69"/>
      <c r="P42" s="69"/>
      <c r="Q42" s="69"/>
      <c r="R42" s="69"/>
      <c r="S42" s="69"/>
      <c r="T42" s="69"/>
      <c r="U42" s="69"/>
      <c r="V42" s="69"/>
      <c r="W42" s="69"/>
      <c r="X42" s="69"/>
      <c r="Y42" s="69"/>
      <c r="Z42">
        <f t="shared" si="5"/>
        <v>0</v>
      </c>
      <c r="AA42">
        <f t="shared" si="1"/>
        <v>0</v>
      </c>
      <c r="AB42">
        <f t="shared" si="3"/>
        <v>0</v>
      </c>
      <c r="AC42">
        <f>+IF(Table3[[#This Row],[Do Both Parties have to agree for extension to occur?]]="Yes",0,IF(AND(W42="Yes",Q42="Yes"),IF(R42=X42,R42,MAX(R42,X42)),IF(AND(W42="Yes",OR(Q42="No",Q42="")),X42,IF(AND(OR(W42="No",W42=""),Q42="Yes"),R42,0))))</f>
        <v>0</v>
      </c>
      <c r="AD42" s="69"/>
      <c r="AE42" s="69"/>
      <c r="AF42" t="str">
        <f>IF(AD42="Monthly",Table3[[#This Row],[Assessed Term]]*12,IF(AD42="quarterly",Table3[[#This Row],[Assessed Term]]*4,IF(AD42="annually",Table3[[#This Row],[Assessed Term]]*1,IF(AD42="weekly",Table3[[#This Row],[Assessed Term]]*52,IF(AD42="semiannually",Table3[[#This Row],[Assessed Term]]*2," ")))))</f>
        <v xml:space="preserve"> </v>
      </c>
      <c r="AG42" s="69"/>
      <c r="AH42" s="69"/>
      <c r="AI42" s="71"/>
      <c r="AJ42" s="71"/>
      <c r="AK42" s="71"/>
      <c r="AL42" s="69"/>
      <c r="AM42" s="69"/>
      <c r="AN42" s="119"/>
      <c r="AO42" s="76" t="b">
        <f>IF(K42 = "Lease",+PV(AN42/(AF42/Table3[[#This Row],[Assessed Term]]),AF42,-AI42,0,IF(AE42="Beginning",1,0)))</f>
        <v>0</v>
      </c>
      <c r="AP42" s="69"/>
      <c r="AQ42" s="76">
        <f t="shared" si="6"/>
        <v>0</v>
      </c>
      <c r="AR42" s="72"/>
    </row>
    <row r="43" spans="1:44">
      <c r="A43" s="69"/>
      <c r="B43" s="70"/>
      <c r="C43" s="69"/>
      <c r="D43" s="69"/>
      <c r="E43" s="69"/>
      <c r="F43" s="69"/>
      <c r="G43" s="69"/>
      <c r="H43" s="69"/>
      <c r="I43" s="69"/>
      <c r="J43" s="69"/>
      <c r="K43" t="str">
        <f t="shared" si="0"/>
        <v>Not a Lease</v>
      </c>
      <c r="L43" s="69"/>
      <c r="M43" s="69"/>
      <c r="N43" s="69"/>
      <c r="O43" s="69"/>
      <c r="P43" s="69"/>
      <c r="Q43" s="69"/>
      <c r="R43" s="69"/>
      <c r="S43" s="69"/>
      <c r="T43" s="69"/>
      <c r="U43" s="69"/>
      <c r="V43" s="69"/>
      <c r="W43" s="69"/>
      <c r="X43" s="69"/>
      <c r="Y43" s="69"/>
      <c r="Z43">
        <f t="shared" si="5"/>
        <v>0</v>
      </c>
      <c r="AA43">
        <f t="shared" si="1"/>
        <v>0</v>
      </c>
      <c r="AB43">
        <f t="shared" si="3"/>
        <v>0</v>
      </c>
      <c r="AC43">
        <f>+IF(Table3[[#This Row],[Do Both Parties have to agree for extension to occur?]]="Yes",0,IF(AND(W43="Yes",Q43="Yes"),IF(R43=X43,R43,MAX(R43,X43)),IF(AND(W43="Yes",OR(Q43="No",Q43="")),X43,IF(AND(OR(W43="No",W43=""),Q43="Yes"),R43,0))))</f>
        <v>0</v>
      </c>
      <c r="AD43" s="69"/>
      <c r="AE43" s="69"/>
      <c r="AF43" t="str">
        <f>IF(AD43="Monthly",Table3[[#This Row],[Assessed Term]]*12,IF(AD43="quarterly",Table3[[#This Row],[Assessed Term]]*4,IF(AD43="annually",Table3[[#This Row],[Assessed Term]]*1,IF(AD43="weekly",Table3[[#This Row],[Assessed Term]]*52,IF(AD43="semiannually",Table3[[#This Row],[Assessed Term]]*2," ")))))</f>
        <v xml:space="preserve"> </v>
      </c>
      <c r="AG43" s="69"/>
      <c r="AH43" s="69"/>
      <c r="AI43" s="71"/>
      <c r="AJ43" s="71"/>
      <c r="AK43" s="71"/>
      <c r="AL43" s="69"/>
      <c r="AM43" s="69"/>
      <c r="AN43" s="119"/>
      <c r="AO43" s="76" t="b">
        <f>IF(K43 = "Lease",+PV(AN43/(AF43/Table3[[#This Row],[Assessed Term]]),AF43,-AI43,0,IF(AE43="Beginning",1,0)))</f>
        <v>0</v>
      </c>
      <c r="AP43" s="69"/>
      <c r="AQ43" s="76">
        <f t="shared" si="6"/>
        <v>0</v>
      </c>
      <c r="AR43" s="72"/>
    </row>
    <row r="44" spans="1:44">
      <c r="A44" s="69"/>
      <c r="B44" s="70"/>
      <c r="C44" s="69"/>
      <c r="D44" s="69"/>
      <c r="E44" s="69"/>
      <c r="F44" s="69"/>
      <c r="G44" s="69"/>
      <c r="H44" s="69"/>
      <c r="I44" s="69"/>
      <c r="J44" s="69"/>
      <c r="K44" t="str">
        <f t="shared" si="0"/>
        <v>Not a Lease</v>
      </c>
      <c r="L44" s="69"/>
      <c r="M44" s="69"/>
      <c r="N44" s="69"/>
      <c r="O44" s="69"/>
      <c r="P44" s="69"/>
      <c r="Q44" s="69"/>
      <c r="R44" s="69"/>
      <c r="S44" s="69"/>
      <c r="T44" s="69"/>
      <c r="U44" s="69"/>
      <c r="V44" s="69"/>
      <c r="W44" s="69"/>
      <c r="X44" s="69"/>
      <c r="Y44" s="69"/>
      <c r="Z44">
        <f t="shared" si="5"/>
        <v>0</v>
      </c>
      <c r="AA44">
        <f t="shared" si="1"/>
        <v>0</v>
      </c>
      <c r="AB44">
        <f t="shared" si="3"/>
        <v>0</v>
      </c>
      <c r="AC44">
        <f>+IF(Table3[[#This Row],[Do Both Parties have to agree for extension to occur?]]="Yes",0,IF(AND(W44="Yes",Q44="Yes"),IF(R44=X44,R44,MAX(R44,X44)),IF(AND(W44="Yes",OR(Q44="No",Q44="")),X44,IF(AND(OR(W44="No",W44=""),Q44="Yes"),R44,0))))</f>
        <v>0</v>
      </c>
      <c r="AD44" s="69"/>
      <c r="AE44" s="69"/>
      <c r="AF44" t="str">
        <f>IF(AD44="Monthly",Table3[[#This Row],[Assessed Term]]*12,IF(AD44="quarterly",Table3[[#This Row],[Assessed Term]]*4,IF(AD44="annually",Table3[[#This Row],[Assessed Term]]*1,IF(AD44="weekly",Table3[[#This Row],[Assessed Term]]*52,IF(AD44="semiannually",Table3[[#This Row],[Assessed Term]]*2," ")))))</f>
        <v xml:space="preserve"> </v>
      </c>
      <c r="AG44" s="69"/>
      <c r="AH44" s="69"/>
      <c r="AI44" s="71"/>
      <c r="AJ44" s="71"/>
      <c r="AK44" s="71"/>
      <c r="AL44" s="69"/>
      <c r="AM44" s="69"/>
      <c r="AN44" s="119"/>
      <c r="AO44" s="76" t="b">
        <f>IF(K44 = "Lease",+PV(AN44/(AF44/Table3[[#This Row],[Assessed Term]]),AF44,-AI44,0,IF(AE44="Beginning",1,0)))</f>
        <v>0</v>
      </c>
      <c r="AP44" s="69"/>
      <c r="AQ44" s="76">
        <f t="shared" si="6"/>
        <v>0</v>
      </c>
      <c r="AR44" s="72"/>
    </row>
    <row r="45" spans="1:44">
      <c r="A45" s="69"/>
      <c r="B45" s="70"/>
      <c r="C45" s="69"/>
      <c r="D45" s="69"/>
      <c r="E45" s="69"/>
      <c r="F45" s="69"/>
      <c r="G45" s="69"/>
      <c r="H45" s="69"/>
      <c r="I45" s="69"/>
      <c r="J45" s="69"/>
      <c r="K45" t="str">
        <f t="shared" si="0"/>
        <v>Not a Lease</v>
      </c>
      <c r="L45" s="69"/>
      <c r="M45" s="69"/>
      <c r="N45" s="69"/>
      <c r="O45" s="69"/>
      <c r="P45" s="69"/>
      <c r="Q45" s="69"/>
      <c r="R45" s="69"/>
      <c r="S45" s="69"/>
      <c r="T45" s="69"/>
      <c r="U45" s="69"/>
      <c r="V45" s="69"/>
      <c r="W45" s="69"/>
      <c r="X45" s="69"/>
      <c r="Y45" s="69"/>
      <c r="Z45">
        <f t="shared" si="5"/>
        <v>0</v>
      </c>
      <c r="AA45">
        <f t="shared" si="1"/>
        <v>0</v>
      </c>
      <c r="AB45">
        <f t="shared" si="3"/>
        <v>0</v>
      </c>
      <c r="AC45">
        <f>+IF(Table3[[#This Row],[Do Both Parties have to agree for extension to occur?]]="Yes",0,IF(AND(W45="Yes",Q45="Yes"),IF(R45=X45,R45,MAX(R45,X45)),IF(AND(W45="Yes",OR(Q45="No",Q45="")),X45,IF(AND(OR(W45="No",W45=""),Q45="Yes"),R45,0))))</f>
        <v>0</v>
      </c>
      <c r="AD45" s="69"/>
      <c r="AE45" s="69"/>
      <c r="AF45" t="str">
        <f>IF(AD45="Monthly",Table3[[#This Row],[Assessed Term]]*12,IF(AD45="quarterly",Table3[[#This Row],[Assessed Term]]*4,IF(AD45="annually",Table3[[#This Row],[Assessed Term]]*1,IF(AD45="weekly",Table3[[#This Row],[Assessed Term]]*52,IF(AD45="semiannually",Table3[[#This Row],[Assessed Term]]*2," ")))))</f>
        <v xml:space="preserve"> </v>
      </c>
      <c r="AG45" s="69"/>
      <c r="AH45" s="69"/>
      <c r="AI45" s="71"/>
      <c r="AJ45" s="71"/>
      <c r="AK45" s="71"/>
      <c r="AL45" s="69"/>
      <c r="AM45" s="69"/>
      <c r="AN45" s="119"/>
      <c r="AO45" s="76" t="b">
        <f>IF(K45 = "Lease",+PV(AN45/(AF45/Table3[[#This Row],[Assessed Term]]),AF45,-AI45,0,IF(AE45="Beginning",1,0)))</f>
        <v>0</v>
      </c>
      <c r="AP45" s="69"/>
      <c r="AQ45" s="76">
        <f t="shared" si="6"/>
        <v>0</v>
      </c>
      <c r="AR45" s="72"/>
    </row>
    <row r="46" spans="1:44">
      <c r="A46" s="69"/>
      <c r="B46" s="70"/>
      <c r="C46" s="69"/>
      <c r="D46" s="69"/>
      <c r="E46" s="69"/>
      <c r="F46" s="69"/>
      <c r="G46" s="69"/>
      <c r="H46" s="69"/>
      <c r="I46" s="69"/>
      <c r="J46" s="69"/>
      <c r="K46" t="str">
        <f t="shared" si="0"/>
        <v>Not a Lease</v>
      </c>
      <c r="L46" s="69"/>
      <c r="M46" s="69"/>
      <c r="N46" s="69"/>
      <c r="O46" s="69"/>
      <c r="P46" s="69"/>
      <c r="Q46" s="69"/>
      <c r="R46" s="69"/>
      <c r="S46" s="69"/>
      <c r="T46" s="69"/>
      <c r="U46" s="69"/>
      <c r="V46" s="69"/>
      <c r="W46" s="69"/>
      <c r="X46" s="69"/>
      <c r="Y46" s="69"/>
      <c r="Z46">
        <f t="shared" si="5"/>
        <v>0</v>
      </c>
      <c r="AA46">
        <f t="shared" si="1"/>
        <v>0</v>
      </c>
      <c r="AB46">
        <f t="shared" si="3"/>
        <v>0</v>
      </c>
      <c r="AC46">
        <f>+IF(Table3[[#This Row],[Do Both Parties have to agree for extension to occur?]]="Yes",0,IF(AND(W46="Yes",Q46="Yes"),IF(R46=X46,R46,MAX(R46,X46)),IF(AND(W46="Yes",OR(Q46="No",Q46="")),X46,IF(AND(OR(W46="No",W46=""),Q46="Yes"),R46,0))))</f>
        <v>0</v>
      </c>
      <c r="AD46" s="69"/>
      <c r="AE46" s="69"/>
      <c r="AF46" t="str">
        <f>IF(AD46="Monthly",Table3[[#This Row],[Assessed Term]]*12,IF(AD46="quarterly",Table3[[#This Row],[Assessed Term]]*4,IF(AD46="annually",Table3[[#This Row],[Assessed Term]]*1,IF(AD46="weekly",Table3[[#This Row],[Assessed Term]]*52,IF(AD46="semiannually",Table3[[#This Row],[Assessed Term]]*2," ")))))</f>
        <v xml:space="preserve"> </v>
      </c>
      <c r="AG46" s="69"/>
      <c r="AH46" s="69"/>
      <c r="AI46" s="71"/>
      <c r="AJ46" s="71"/>
      <c r="AK46" s="71"/>
      <c r="AL46" s="69"/>
      <c r="AM46" s="69"/>
      <c r="AN46" s="119"/>
      <c r="AO46" s="76" t="b">
        <f>IF(K46 = "Lease",+PV(AN46/(AF46/Table3[[#This Row],[Assessed Term]]),AF46,-AI46,0,IF(AE46="Beginning",1,0)))</f>
        <v>0</v>
      </c>
      <c r="AP46" s="69"/>
      <c r="AQ46" s="76">
        <f t="shared" si="6"/>
        <v>0</v>
      </c>
      <c r="AR46" s="72"/>
    </row>
    <row r="47" spans="1:44">
      <c r="A47" s="69"/>
      <c r="B47" s="70"/>
      <c r="C47" s="69"/>
      <c r="D47" s="69"/>
      <c r="E47" s="69"/>
      <c r="F47" s="69"/>
      <c r="G47" s="69"/>
      <c r="H47" s="69"/>
      <c r="I47" s="69"/>
      <c r="J47" s="69"/>
      <c r="K47" t="str">
        <f t="shared" si="0"/>
        <v>Not a Lease</v>
      </c>
      <c r="L47" s="69"/>
      <c r="M47" s="69"/>
      <c r="N47" s="69"/>
      <c r="O47" s="69"/>
      <c r="P47" s="69"/>
      <c r="Q47" s="69"/>
      <c r="R47" s="69"/>
      <c r="S47" s="69"/>
      <c r="T47" s="69"/>
      <c r="U47" s="69"/>
      <c r="V47" s="69"/>
      <c r="W47" s="69"/>
      <c r="X47" s="69"/>
      <c r="Y47" s="69"/>
      <c r="Z47">
        <f t="shared" si="5"/>
        <v>0</v>
      </c>
      <c r="AA47">
        <f t="shared" si="1"/>
        <v>0</v>
      </c>
      <c r="AB47">
        <f t="shared" si="3"/>
        <v>0</v>
      </c>
      <c r="AC47">
        <f>+IF(Table3[[#This Row],[Do Both Parties have to agree for extension to occur?]]="Yes",0,IF(AND(W47="Yes",Q47="Yes"),IF(R47=X47,R47,MAX(R47,X47)),IF(AND(W47="Yes",OR(Q47="No",Q47="")),X47,IF(AND(OR(W47="No",W47=""),Q47="Yes"),R47,0))))</f>
        <v>0</v>
      </c>
      <c r="AD47" s="69"/>
      <c r="AE47" s="69"/>
      <c r="AF47" t="str">
        <f>IF(AD47="Monthly",Table3[[#This Row],[Assessed Term]]*12,IF(AD47="quarterly",Table3[[#This Row],[Assessed Term]]*4,IF(AD47="annually",Table3[[#This Row],[Assessed Term]]*1,IF(AD47="weekly",Table3[[#This Row],[Assessed Term]]*52,IF(AD47="semiannually",Table3[[#This Row],[Assessed Term]]*2," ")))))</f>
        <v xml:space="preserve"> </v>
      </c>
      <c r="AG47" s="69"/>
      <c r="AH47" s="69"/>
      <c r="AI47" s="71"/>
      <c r="AJ47" s="71"/>
      <c r="AK47" s="71"/>
      <c r="AL47" s="69"/>
      <c r="AM47" s="69"/>
      <c r="AN47" s="119"/>
      <c r="AO47" s="76" t="b">
        <f>IF(K47 = "Lease",+PV(AN47/(AF47/Table3[[#This Row],[Assessed Term]]),AF47,-AI47,0,IF(AE47="Beginning",1,0)))</f>
        <v>0</v>
      </c>
      <c r="AP47" s="69"/>
      <c r="AQ47" s="76">
        <f t="shared" si="6"/>
        <v>0</v>
      </c>
      <c r="AR47" s="72"/>
    </row>
    <row r="48" spans="1:44">
      <c r="A48" s="69"/>
      <c r="B48" s="70"/>
      <c r="C48" s="69"/>
      <c r="D48" s="69"/>
      <c r="E48" s="69"/>
      <c r="F48" s="69"/>
      <c r="G48" s="69"/>
      <c r="H48" s="69"/>
      <c r="I48" s="69"/>
      <c r="J48" s="69"/>
      <c r="K48" t="str">
        <f t="shared" si="0"/>
        <v>Not a Lease</v>
      </c>
      <c r="L48" s="69"/>
      <c r="M48" s="69"/>
      <c r="N48" s="69"/>
      <c r="O48" s="69"/>
      <c r="P48" s="69"/>
      <c r="Q48" s="69"/>
      <c r="R48" s="69"/>
      <c r="S48" s="69"/>
      <c r="T48" s="69"/>
      <c r="U48" s="69"/>
      <c r="V48" s="69"/>
      <c r="W48" s="69"/>
      <c r="X48" s="69"/>
      <c r="Y48" s="69"/>
      <c r="Z48">
        <f t="shared" si="5"/>
        <v>0</v>
      </c>
      <c r="AA48">
        <f t="shared" si="1"/>
        <v>0</v>
      </c>
      <c r="AB48">
        <f t="shared" si="3"/>
        <v>0</v>
      </c>
      <c r="AC48">
        <f>+IF(Table3[[#This Row],[Do Both Parties have to agree for extension to occur?]]="Yes",0,IF(AND(W48="Yes",Q48="Yes"),IF(R48=X48,R48,MAX(R48,X48)),IF(AND(W48="Yes",OR(Q48="No",Q48="")),X48,IF(AND(OR(W48="No",W48=""),Q48="Yes"),R48,0))))</f>
        <v>0</v>
      </c>
      <c r="AD48" s="69"/>
      <c r="AE48" s="69"/>
      <c r="AF48" t="str">
        <f>IF(AD48="Monthly",Table3[[#This Row],[Assessed Term]]*12,IF(AD48="quarterly",Table3[[#This Row],[Assessed Term]]*4,IF(AD48="annually",Table3[[#This Row],[Assessed Term]]*1,IF(AD48="weekly",Table3[[#This Row],[Assessed Term]]*52,IF(AD48="semiannually",Table3[[#This Row],[Assessed Term]]*2," ")))))</f>
        <v xml:space="preserve"> </v>
      </c>
      <c r="AG48" s="69"/>
      <c r="AH48" s="69"/>
      <c r="AI48" s="71"/>
      <c r="AJ48" s="71"/>
      <c r="AK48" s="71"/>
      <c r="AL48" s="69"/>
      <c r="AM48" s="69"/>
      <c r="AN48" s="119"/>
      <c r="AO48" s="76" t="b">
        <f>IF(K48 = "Lease",+PV(AN48/(AF48/Table3[[#This Row],[Assessed Term]]),AF48,-AI48,0,IF(AE48="Beginning",1,0)))</f>
        <v>0</v>
      </c>
      <c r="AP48" s="69"/>
      <c r="AQ48" s="76">
        <f t="shared" si="6"/>
        <v>0</v>
      </c>
      <c r="AR48" s="72"/>
    </row>
    <row r="49" spans="1:44">
      <c r="A49" s="69"/>
      <c r="B49" s="70"/>
      <c r="C49" s="69"/>
      <c r="D49" s="69"/>
      <c r="E49" s="69"/>
      <c r="F49" s="69"/>
      <c r="G49" s="69"/>
      <c r="H49" s="69"/>
      <c r="I49" s="69"/>
      <c r="J49" s="69"/>
      <c r="K49" t="str">
        <f t="shared" si="0"/>
        <v>Not a Lease</v>
      </c>
      <c r="L49" s="69"/>
      <c r="M49" s="69"/>
      <c r="N49" s="69"/>
      <c r="O49" s="69"/>
      <c r="P49" s="69"/>
      <c r="Q49" s="69"/>
      <c r="R49" s="69"/>
      <c r="S49" s="69"/>
      <c r="T49" s="69"/>
      <c r="U49" s="69"/>
      <c r="V49" s="69"/>
      <c r="W49" s="69"/>
      <c r="X49" s="69"/>
      <c r="Y49" s="69"/>
      <c r="Z49">
        <f t="shared" si="5"/>
        <v>0</v>
      </c>
      <c r="AA49">
        <f t="shared" si="1"/>
        <v>0</v>
      </c>
      <c r="AB49">
        <f t="shared" si="3"/>
        <v>0</v>
      </c>
      <c r="AC49">
        <f>+IF(Table3[[#This Row],[Do Both Parties have to agree for extension to occur?]]="Yes",0,IF(AND(W49="Yes",Q49="Yes"),IF(R49=X49,R49,MAX(R49,X49)),IF(AND(W49="Yes",OR(Q49="No",Q49="")),X49,IF(AND(OR(W49="No",W49=""),Q49="Yes"),R49,0))))</f>
        <v>0</v>
      </c>
      <c r="AD49" s="69"/>
      <c r="AE49" s="69"/>
      <c r="AF49" t="str">
        <f>IF(AD49="Monthly",Table3[[#This Row],[Assessed Term]]*12,IF(AD49="quarterly",Table3[[#This Row],[Assessed Term]]*4,IF(AD49="annually",Table3[[#This Row],[Assessed Term]]*1,IF(AD49="weekly",Table3[[#This Row],[Assessed Term]]*52,IF(AD49="semiannually",Table3[[#This Row],[Assessed Term]]*2," ")))))</f>
        <v xml:space="preserve"> </v>
      </c>
      <c r="AG49" s="69"/>
      <c r="AH49" s="69"/>
      <c r="AI49" s="71"/>
      <c r="AJ49" s="71"/>
      <c r="AK49" s="71"/>
      <c r="AL49" s="69"/>
      <c r="AM49" s="69"/>
      <c r="AN49" s="119"/>
      <c r="AO49" s="76" t="b">
        <f>IF(K49 = "Lease",+PV(AN49/(AF49/Table3[[#This Row],[Assessed Term]]),AF49,-AI49,0,IF(AE49="Beginning",1,0)))</f>
        <v>0</v>
      </c>
      <c r="AP49" s="69"/>
      <c r="AQ49" s="76">
        <f t="shared" si="6"/>
        <v>0</v>
      </c>
      <c r="AR49" s="72"/>
    </row>
    <row r="50" spans="1:44">
      <c r="A50" s="69"/>
      <c r="B50" s="70"/>
      <c r="C50" s="69"/>
      <c r="D50" s="69"/>
      <c r="E50" s="69"/>
      <c r="F50" s="69"/>
      <c r="G50" s="69"/>
      <c r="H50" s="69"/>
      <c r="I50" s="69"/>
      <c r="J50" s="69"/>
      <c r="K50" t="str">
        <f t="shared" si="0"/>
        <v>Not a Lease</v>
      </c>
      <c r="L50" s="69"/>
      <c r="M50" s="69"/>
      <c r="N50" s="69"/>
      <c r="O50" s="69"/>
      <c r="P50" s="69"/>
      <c r="Q50" s="69"/>
      <c r="R50" s="69"/>
      <c r="S50" s="69"/>
      <c r="T50" s="69"/>
      <c r="U50" s="69"/>
      <c r="V50" s="69"/>
      <c r="W50" s="69"/>
      <c r="X50" s="69"/>
      <c r="Y50" s="69"/>
      <c r="Z50">
        <f t="shared" si="5"/>
        <v>0</v>
      </c>
      <c r="AA50">
        <f t="shared" si="1"/>
        <v>0</v>
      </c>
      <c r="AB50">
        <f t="shared" si="3"/>
        <v>0</v>
      </c>
      <c r="AC50">
        <f>+IF(Table3[[#This Row],[Do Both Parties have to agree for extension to occur?]]="Yes",0,IF(AND(W50="Yes",Q50="Yes"),IF(R50=X50,R50,MAX(R50,X50)),IF(AND(W50="Yes",OR(Q50="No",Q50="")),X50,IF(AND(OR(W50="No",W50=""),Q50="Yes"),R50,0))))</f>
        <v>0</v>
      </c>
      <c r="AD50" s="69"/>
      <c r="AE50" s="69"/>
      <c r="AF50" t="str">
        <f>IF(AD50="Monthly",Table3[[#This Row],[Assessed Term]]*12,IF(AD50="quarterly",Table3[[#This Row],[Assessed Term]]*4,IF(AD50="annually",Table3[[#This Row],[Assessed Term]]*1,IF(AD50="weekly",Table3[[#This Row],[Assessed Term]]*52,IF(AD50="semiannually",Table3[[#This Row],[Assessed Term]]*2," ")))))</f>
        <v xml:space="preserve"> </v>
      </c>
      <c r="AG50" s="69"/>
      <c r="AH50" s="69"/>
      <c r="AI50" s="71"/>
      <c r="AJ50" s="71"/>
      <c r="AK50" s="71"/>
      <c r="AL50" s="69"/>
      <c r="AM50" s="69"/>
      <c r="AN50" s="119"/>
      <c r="AO50" s="76" t="b">
        <f>IF(K50 = "Lease",+PV(AN50/(AF50/Table3[[#This Row],[Assessed Term]]),AF50,-AI50,0,IF(AE50="Beginning",1,0)))</f>
        <v>0</v>
      </c>
      <c r="AP50" s="69"/>
      <c r="AQ50" s="76">
        <f t="shared" si="6"/>
        <v>0</v>
      </c>
      <c r="AR50" s="72"/>
    </row>
    <row r="51" spans="1:44">
      <c r="A51" s="69"/>
      <c r="B51" s="70"/>
      <c r="C51" s="69"/>
      <c r="D51" s="69"/>
      <c r="E51" s="69"/>
      <c r="F51" s="69"/>
      <c r="G51" s="69"/>
      <c r="H51" s="69"/>
      <c r="I51" s="69"/>
      <c r="J51" s="69"/>
      <c r="K51" t="str">
        <f t="shared" si="0"/>
        <v>Not a Lease</v>
      </c>
      <c r="L51" s="69"/>
      <c r="M51" s="69"/>
      <c r="N51" s="69"/>
      <c r="O51" s="69"/>
      <c r="P51" s="69"/>
      <c r="Q51" s="69"/>
      <c r="R51" s="69"/>
      <c r="S51" s="69"/>
      <c r="T51" s="69"/>
      <c r="U51" s="69"/>
      <c r="V51" s="69"/>
      <c r="W51" s="69"/>
      <c r="X51" s="69"/>
      <c r="Y51" s="69"/>
      <c r="Z51">
        <f t="shared" si="5"/>
        <v>0</v>
      </c>
      <c r="AA51">
        <f t="shared" si="1"/>
        <v>0</v>
      </c>
      <c r="AB51">
        <f t="shared" si="3"/>
        <v>0</v>
      </c>
      <c r="AC51">
        <f>+IF(Table3[[#This Row],[Do Both Parties have to agree for extension to occur?]]="Yes",0,IF(AND(W51="Yes",Q51="Yes"),IF(R51=X51,R51,MAX(R51,X51)),IF(AND(W51="Yes",OR(Q51="No",Q51="")),X51,IF(AND(OR(W51="No",W51=""),Q51="Yes"),R51,0))))</f>
        <v>0</v>
      </c>
      <c r="AD51" s="69"/>
      <c r="AE51" s="69"/>
      <c r="AF51" t="str">
        <f>IF(AD51="Monthly",Table3[[#This Row],[Assessed Term]]*12,IF(AD51="quarterly",Table3[[#This Row],[Assessed Term]]*4,IF(AD51="annually",Table3[[#This Row],[Assessed Term]]*1,IF(AD51="weekly",Table3[[#This Row],[Assessed Term]]*52,IF(AD51="semiannually",Table3[[#This Row],[Assessed Term]]*2," ")))))</f>
        <v xml:space="preserve"> </v>
      </c>
      <c r="AG51" s="69"/>
      <c r="AH51" s="69"/>
      <c r="AI51" s="71"/>
      <c r="AJ51" s="71"/>
      <c r="AK51" s="71"/>
      <c r="AL51" s="69"/>
      <c r="AM51" s="69"/>
      <c r="AN51" s="119"/>
      <c r="AO51" s="76" t="b">
        <f>IF(K51 = "Lease",+PV(AN51/(AF51/Table3[[#This Row],[Assessed Term]]),AF51,-AI51,0,IF(AE51="Beginning",1,0)))</f>
        <v>0</v>
      </c>
      <c r="AP51" s="69"/>
      <c r="AQ51" s="76">
        <f t="shared" si="6"/>
        <v>0</v>
      </c>
      <c r="AR51" s="72"/>
    </row>
    <row r="52" spans="1:44">
      <c r="A52" s="69"/>
      <c r="B52" s="70"/>
      <c r="C52" s="69"/>
      <c r="D52" s="69"/>
      <c r="E52" s="69"/>
      <c r="F52" s="69"/>
      <c r="G52" s="69"/>
      <c r="H52" s="69"/>
      <c r="I52" s="69"/>
      <c r="J52" s="69"/>
      <c r="K52" t="str">
        <f t="shared" si="0"/>
        <v>Not a Lease</v>
      </c>
      <c r="L52" s="69"/>
      <c r="M52" s="69"/>
      <c r="N52" s="69"/>
      <c r="O52" s="69"/>
      <c r="P52" s="69"/>
      <c r="Q52" s="69"/>
      <c r="R52" s="69"/>
      <c r="S52" s="69"/>
      <c r="T52" s="69"/>
      <c r="U52" s="69"/>
      <c r="V52" s="69"/>
      <c r="W52" s="69"/>
      <c r="X52" s="69"/>
      <c r="Y52" s="69"/>
      <c r="Z52">
        <f t="shared" si="5"/>
        <v>0</v>
      </c>
      <c r="AA52">
        <f t="shared" si="1"/>
        <v>0</v>
      </c>
      <c r="AB52">
        <f t="shared" si="3"/>
        <v>0</v>
      </c>
      <c r="AC52">
        <f>+IF(Table3[[#This Row],[Do Both Parties have to agree for extension to occur?]]="Yes",0,IF(AND(W52="Yes",Q52="Yes"),IF(R52=X52,R52,MAX(R52,X52)),IF(AND(W52="Yes",OR(Q52="No",Q52="")),X52,IF(AND(OR(W52="No",W52=""),Q52="Yes"),R52,0))))</f>
        <v>0</v>
      </c>
      <c r="AD52" s="69"/>
      <c r="AE52" s="69"/>
      <c r="AF52" t="str">
        <f>IF(AD52="Monthly",Table3[[#This Row],[Assessed Term]]*12,IF(AD52="quarterly",Table3[[#This Row],[Assessed Term]]*4,IF(AD52="annually",Table3[[#This Row],[Assessed Term]]*1,IF(AD52="weekly",Table3[[#This Row],[Assessed Term]]*52,IF(AD52="semiannually",Table3[[#This Row],[Assessed Term]]*2," ")))))</f>
        <v xml:space="preserve"> </v>
      </c>
      <c r="AG52" s="69"/>
      <c r="AH52" s="69"/>
      <c r="AI52" s="71"/>
      <c r="AJ52" s="71"/>
      <c r="AK52" s="71"/>
      <c r="AL52" s="69"/>
      <c r="AM52" s="69"/>
      <c r="AN52" s="119"/>
      <c r="AO52" s="76" t="b">
        <f>IF(K52 = "Lease",+PV(AN52/(AF52/Table3[[#This Row],[Assessed Term]]),AF52,-AI52,0,IF(AE52="Beginning",1,0)))</f>
        <v>0</v>
      </c>
      <c r="AP52" s="69"/>
      <c r="AQ52" s="76">
        <f t="shared" si="6"/>
        <v>0</v>
      </c>
      <c r="AR52" s="72"/>
    </row>
    <row r="53" spans="1:44">
      <c r="A53" s="69"/>
      <c r="B53" s="70"/>
      <c r="C53" s="69"/>
      <c r="D53" s="69"/>
      <c r="E53" s="69"/>
      <c r="F53" s="69"/>
      <c r="G53" s="69"/>
      <c r="H53" s="69"/>
      <c r="I53" s="69"/>
      <c r="J53" s="69"/>
      <c r="K53" t="str">
        <f t="shared" si="0"/>
        <v>Not a Lease</v>
      </c>
      <c r="L53" s="69"/>
      <c r="M53" s="69"/>
      <c r="N53" s="69"/>
      <c r="O53" s="69"/>
      <c r="P53" s="69"/>
      <c r="Q53" s="69"/>
      <c r="R53" s="69"/>
      <c r="S53" s="69"/>
      <c r="T53" s="69"/>
      <c r="U53" s="69"/>
      <c r="V53" s="69"/>
      <c r="W53" s="69"/>
      <c r="X53" s="69"/>
      <c r="Y53" s="69"/>
      <c r="Z53">
        <f t="shared" si="5"/>
        <v>0</v>
      </c>
      <c r="AA53">
        <f t="shared" si="1"/>
        <v>0</v>
      </c>
      <c r="AB53">
        <f t="shared" si="3"/>
        <v>0</v>
      </c>
      <c r="AC53">
        <f>+IF(Table3[[#This Row],[Do Both Parties have to agree for extension to occur?]]="Yes",0,IF(AND(W53="Yes",Q53="Yes"),IF(R53=X53,R53,MAX(R53,X53)),IF(AND(W53="Yes",OR(Q53="No",Q53="")),X53,IF(AND(OR(W53="No",W53=""),Q53="Yes"),R53,0))))</f>
        <v>0</v>
      </c>
      <c r="AD53" s="69"/>
      <c r="AE53" s="69"/>
      <c r="AF53" t="str">
        <f>IF(AD53="Monthly",Table3[[#This Row],[Assessed Term]]*12,IF(AD53="quarterly",Table3[[#This Row],[Assessed Term]]*4,IF(AD53="annually",Table3[[#This Row],[Assessed Term]]*1,IF(AD53="weekly",Table3[[#This Row],[Assessed Term]]*52,IF(AD53="semiannually",Table3[[#This Row],[Assessed Term]]*2," ")))))</f>
        <v xml:space="preserve"> </v>
      </c>
      <c r="AG53" s="69"/>
      <c r="AH53" s="69"/>
      <c r="AI53" s="71"/>
      <c r="AJ53" s="71"/>
      <c r="AK53" s="71"/>
      <c r="AL53" s="69"/>
      <c r="AM53" s="69"/>
      <c r="AN53" s="119"/>
      <c r="AO53" s="76" t="b">
        <f>IF(K53 = "Lease",+PV(AN53/(AF53/Table3[[#This Row],[Assessed Term]]),AF53,-AI53,0,IF(AE53="Beginning",1,0)))</f>
        <v>0</v>
      </c>
      <c r="AP53" s="69"/>
      <c r="AQ53" s="76">
        <f t="shared" si="6"/>
        <v>0</v>
      </c>
      <c r="AR53" s="72"/>
    </row>
    <row r="54" spans="1:44">
      <c r="A54" s="69"/>
      <c r="B54" s="70"/>
      <c r="C54" s="69"/>
      <c r="D54" s="69"/>
      <c r="E54" s="69"/>
      <c r="F54" s="69"/>
      <c r="G54" s="69"/>
      <c r="H54" s="69"/>
      <c r="I54" s="69"/>
      <c r="J54" s="69"/>
      <c r="K54" t="str">
        <f t="shared" si="0"/>
        <v>Not a Lease</v>
      </c>
      <c r="L54" s="69"/>
      <c r="M54" s="69"/>
      <c r="N54" s="69"/>
      <c r="O54" s="69"/>
      <c r="P54" s="69"/>
      <c r="Q54" s="69"/>
      <c r="R54" s="69"/>
      <c r="S54" s="69"/>
      <c r="T54" s="69"/>
      <c r="U54" s="69"/>
      <c r="V54" s="69"/>
      <c r="W54" s="69"/>
      <c r="X54" s="69"/>
      <c r="Y54" s="69"/>
      <c r="Z54">
        <f t="shared" si="5"/>
        <v>0</v>
      </c>
      <c r="AA54">
        <f t="shared" si="1"/>
        <v>0</v>
      </c>
      <c r="AB54">
        <f t="shared" si="3"/>
        <v>0</v>
      </c>
      <c r="AC54">
        <f>+IF(Table3[[#This Row],[Do Both Parties have to agree for extension to occur?]]="Yes",0,IF(AND(W54="Yes",Q54="Yes"),IF(R54=X54,R54,MAX(R54,X54)),IF(AND(W54="Yes",OR(Q54="No",Q54="")),X54,IF(AND(OR(W54="No",W54=""),Q54="Yes"),R54,0))))</f>
        <v>0</v>
      </c>
      <c r="AD54" s="69"/>
      <c r="AE54" s="69"/>
      <c r="AF54" t="str">
        <f>IF(AD54="Monthly",Table3[[#This Row],[Assessed Term]]*12,IF(AD54="quarterly",Table3[[#This Row],[Assessed Term]]*4,IF(AD54="annually",Table3[[#This Row],[Assessed Term]]*1,IF(AD54="weekly",Table3[[#This Row],[Assessed Term]]*52,IF(AD54="semiannually",Table3[[#This Row],[Assessed Term]]*2," ")))))</f>
        <v xml:space="preserve"> </v>
      </c>
      <c r="AG54" s="69"/>
      <c r="AH54" s="69"/>
      <c r="AI54" s="71"/>
      <c r="AJ54" s="71"/>
      <c r="AK54" s="71"/>
      <c r="AL54" s="69"/>
      <c r="AM54" s="69"/>
      <c r="AN54" s="119"/>
      <c r="AO54" s="76" t="b">
        <f>IF(K54 = "Lease",+PV(AN54/(AF54/Table3[[#This Row],[Assessed Term]]),AF54,-AI54,0,IF(AE54="Beginning",1,0)))</f>
        <v>0</v>
      </c>
      <c r="AP54" s="69"/>
      <c r="AQ54" s="76">
        <f t="shared" si="6"/>
        <v>0</v>
      </c>
      <c r="AR54" s="72"/>
    </row>
    <row r="55" spans="1:44">
      <c r="A55" s="69"/>
      <c r="B55" s="70"/>
      <c r="C55" s="69"/>
      <c r="D55" s="69"/>
      <c r="E55" s="69"/>
      <c r="F55" s="69"/>
      <c r="G55" s="69"/>
      <c r="H55" s="69"/>
      <c r="I55" s="69"/>
      <c r="J55" s="69"/>
      <c r="K55" t="str">
        <f t="shared" si="0"/>
        <v>Not a Lease</v>
      </c>
      <c r="L55" s="69"/>
      <c r="M55" s="69"/>
      <c r="N55" s="69"/>
      <c r="O55" s="69"/>
      <c r="P55" s="69"/>
      <c r="Q55" s="69"/>
      <c r="R55" s="69"/>
      <c r="S55" s="69"/>
      <c r="T55" s="69"/>
      <c r="U55" s="69"/>
      <c r="V55" s="69"/>
      <c r="W55" s="69"/>
      <c r="X55" s="69"/>
      <c r="Y55" s="69"/>
      <c r="Z55">
        <f t="shared" si="5"/>
        <v>0</v>
      </c>
      <c r="AA55">
        <f t="shared" si="1"/>
        <v>0</v>
      </c>
      <c r="AB55">
        <f t="shared" si="3"/>
        <v>0</v>
      </c>
      <c r="AC55">
        <f>+IF(Table3[[#This Row],[Do Both Parties have to agree for extension to occur?]]="Yes",0,IF(AND(W55="Yes",Q55="Yes"),IF(R55=X55,R55,MAX(R55,X55)),IF(AND(W55="Yes",OR(Q55="No",Q55="")),X55,IF(AND(OR(W55="No",W55=""),Q55="Yes"),R55,0))))</f>
        <v>0</v>
      </c>
      <c r="AD55" s="69"/>
      <c r="AE55" s="69"/>
      <c r="AF55" t="str">
        <f>IF(AD55="Monthly",Table3[[#This Row],[Assessed Term]]*12,IF(AD55="quarterly",Table3[[#This Row],[Assessed Term]]*4,IF(AD55="annually",Table3[[#This Row],[Assessed Term]]*1,IF(AD55="weekly",Table3[[#This Row],[Assessed Term]]*52,IF(AD55="semiannually",Table3[[#This Row],[Assessed Term]]*2," ")))))</f>
        <v xml:space="preserve"> </v>
      </c>
      <c r="AG55" s="69"/>
      <c r="AH55" s="69"/>
      <c r="AI55" s="71"/>
      <c r="AJ55" s="71"/>
      <c r="AK55" s="71"/>
      <c r="AL55" s="69"/>
      <c r="AM55" s="69"/>
      <c r="AN55" s="119"/>
      <c r="AO55" s="76" t="b">
        <f>IF(K55 = "Lease",+PV(AN55/(AF55/Table3[[#This Row],[Assessed Term]]),AF55,-AI55,0,IF(AE55="Beginning",1,0)))</f>
        <v>0</v>
      </c>
      <c r="AP55" s="69"/>
      <c r="AQ55" s="76">
        <f t="shared" si="6"/>
        <v>0</v>
      </c>
      <c r="AR55" s="72"/>
    </row>
    <row r="56" spans="1:44">
      <c r="A56" s="69"/>
      <c r="B56" s="70"/>
      <c r="C56" s="69"/>
      <c r="D56" s="69"/>
      <c r="E56" s="69"/>
      <c r="F56" s="69"/>
      <c r="G56" s="69"/>
      <c r="H56" s="69"/>
      <c r="I56" s="69"/>
      <c r="J56" s="69"/>
      <c r="K56" t="str">
        <f t="shared" si="0"/>
        <v>Not a Lease</v>
      </c>
      <c r="L56" s="69"/>
      <c r="M56" s="69"/>
      <c r="N56" s="69"/>
      <c r="O56" s="69"/>
      <c r="P56" s="69"/>
      <c r="Q56" s="69"/>
      <c r="R56" s="69"/>
      <c r="S56" s="69"/>
      <c r="T56" s="69"/>
      <c r="U56" s="69"/>
      <c r="V56" s="69"/>
      <c r="W56" s="69"/>
      <c r="X56" s="69"/>
      <c r="Y56" s="69"/>
      <c r="Z56">
        <f t="shared" si="5"/>
        <v>0</v>
      </c>
      <c r="AA56">
        <f t="shared" si="1"/>
        <v>0</v>
      </c>
      <c r="AB56">
        <f t="shared" si="3"/>
        <v>0</v>
      </c>
      <c r="AC56">
        <f>+IF(Table3[[#This Row],[Do Both Parties have to agree for extension to occur?]]="Yes",0,IF(AND(W56="Yes",Q56="Yes"),IF(R56=X56,R56,MAX(R56,X56)),IF(AND(W56="Yes",OR(Q56="No",Q56="")),X56,IF(AND(OR(W56="No",W56=""),Q56="Yes"),R56,0))))</f>
        <v>0</v>
      </c>
      <c r="AD56" s="69"/>
      <c r="AE56" s="69"/>
      <c r="AF56" t="str">
        <f>IF(AD56="Monthly",Table3[[#This Row],[Assessed Term]]*12,IF(AD56="quarterly",Table3[[#This Row],[Assessed Term]]*4,IF(AD56="annually",Table3[[#This Row],[Assessed Term]]*1,IF(AD56="weekly",Table3[[#This Row],[Assessed Term]]*52,IF(AD56="semiannually",Table3[[#This Row],[Assessed Term]]*2," ")))))</f>
        <v xml:space="preserve"> </v>
      </c>
      <c r="AG56" s="69"/>
      <c r="AH56" s="69"/>
      <c r="AI56" s="71"/>
      <c r="AJ56" s="71"/>
      <c r="AK56" s="71"/>
      <c r="AL56" s="69"/>
      <c r="AM56" s="69"/>
      <c r="AN56" s="119"/>
      <c r="AO56" s="76" t="b">
        <f>IF(K56 = "Lease",+PV(AN56/(AF56/Table3[[#This Row],[Assessed Term]]),AF56,-AI56,0,IF(AE56="Beginning",1,0)))</f>
        <v>0</v>
      </c>
      <c r="AP56" s="69"/>
      <c r="AQ56" s="76">
        <f t="shared" si="6"/>
        <v>0</v>
      </c>
      <c r="AR56" s="72"/>
    </row>
    <row r="57" spans="1:44">
      <c r="A57" s="69"/>
      <c r="B57" s="70"/>
      <c r="C57" s="69"/>
      <c r="D57" s="69"/>
      <c r="E57" s="69"/>
      <c r="F57" s="69"/>
      <c r="G57" s="69"/>
      <c r="H57" s="69"/>
      <c r="I57" s="69"/>
      <c r="J57" s="69"/>
      <c r="K57" t="str">
        <f t="shared" si="0"/>
        <v>Not a Lease</v>
      </c>
      <c r="L57" s="69"/>
      <c r="M57" s="69"/>
      <c r="N57" s="69"/>
      <c r="O57" s="69"/>
      <c r="P57" s="69"/>
      <c r="Q57" s="69"/>
      <c r="R57" s="69"/>
      <c r="S57" s="69"/>
      <c r="T57" s="69"/>
      <c r="U57" s="69"/>
      <c r="V57" s="69"/>
      <c r="W57" s="69"/>
      <c r="X57" s="69"/>
      <c r="Y57" s="69"/>
      <c r="Z57">
        <f t="shared" si="5"/>
        <v>0</v>
      </c>
      <c r="AA57">
        <f t="shared" si="1"/>
        <v>0</v>
      </c>
      <c r="AB57">
        <f t="shared" si="3"/>
        <v>0</v>
      </c>
      <c r="AC57">
        <f>+IF(Table3[[#This Row],[Do Both Parties have to agree for extension to occur?]]="Yes",0,IF(AND(W57="Yes",Q57="Yes"),IF(R57=X57,R57,MAX(R57,X57)),IF(AND(W57="Yes",OR(Q57="No",Q57="")),X57,IF(AND(OR(W57="No",W57=""),Q57="Yes"),R57,0))))</f>
        <v>0</v>
      </c>
      <c r="AD57" s="69"/>
      <c r="AE57" s="69"/>
      <c r="AF57" t="str">
        <f>IF(AD57="Monthly",Table3[[#This Row],[Assessed Term]]*12,IF(AD57="quarterly",Table3[[#This Row],[Assessed Term]]*4,IF(AD57="annually",Table3[[#This Row],[Assessed Term]]*1,IF(AD57="weekly",Table3[[#This Row],[Assessed Term]]*52,IF(AD57="semiannually",Table3[[#This Row],[Assessed Term]]*2," ")))))</f>
        <v xml:space="preserve"> </v>
      </c>
      <c r="AG57" s="69"/>
      <c r="AH57" s="69"/>
      <c r="AI57" s="71"/>
      <c r="AJ57" s="71"/>
      <c r="AK57" s="71"/>
      <c r="AL57" s="69"/>
      <c r="AM57" s="69"/>
      <c r="AN57" s="119"/>
      <c r="AO57" s="76" t="b">
        <f>IF(K57 = "Lease",+PV(AN57/(AF57/Table3[[#This Row],[Assessed Term]]),AF57,-AI57,0,IF(AE57="Beginning",1,0)))</f>
        <v>0</v>
      </c>
      <c r="AP57" s="69"/>
      <c r="AQ57" s="76">
        <f t="shared" si="6"/>
        <v>0</v>
      </c>
      <c r="AR57" s="72"/>
    </row>
    <row r="58" spans="1:44">
      <c r="A58" s="69"/>
      <c r="B58" s="70"/>
      <c r="C58" s="69"/>
      <c r="D58" s="69"/>
      <c r="E58" s="69"/>
      <c r="F58" s="69"/>
      <c r="G58" s="69"/>
      <c r="H58" s="69"/>
      <c r="I58" s="69"/>
      <c r="J58" s="69"/>
      <c r="K58" t="str">
        <f t="shared" si="0"/>
        <v>Not a Lease</v>
      </c>
      <c r="L58" s="69"/>
      <c r="M58" s="69"/>
      <c r="N58" s="69"/>
      <c r="O58" s="69"/>
      <c r="P58" s="69"/>
      <c r="Q58" s="69"/>
      <c r="R58" s="69"/>
      <c r="S58" s="69"/>
      <c r="T58" s="69"/>
      <c r="U58" s="69"/>
      <c r="V58" s="69"/>
      <c r="W58" s="69"/>
      <c r="X58" s="69"/>
      <c r="Y58" s="69"/>
      <c r="Z58">
        <f t="shared" si="5"/>
        <v>0</v>
      </c>
      <c r="AA58">
        <f t="shared" si="1"/>
        <v>0</v>
      </c>
      <c r="AB58">
        <f t="shared" si="3"/>
        <v>0</v>
      </c>
      <c r="AC58">
        <f>+IF(Table3[[#This Row],[Do Both Parties have to agree for extension to occur?]]="Yes",0,IF(AND(W58="Yes",Q58="Yes"),IF(R58=X58,R58,MAX(R58,X58)),IF(AND(W58="Yes",OR(Q58="No",Q58="")),X58,IF(AND(OR(W58="No",W58=""),Q58="Yes"),R58,0))))</f>
        <v>0</v>
      </c>
      <c r="AD58" s="69"/>
      <c r="AE58" s="69"/>
      <c r="AF58" t="str">
        <f>IF(AD58="Monthly",Table3[[#This Row],[Assessed Term]]*12,IF(AD58="quarterly",Table3[[#This Row],[Assessed Term]]*4,IF(AD58="annually",Table3[[#This Row],[Assessed Term]]*1,IF(AD58="weekly",Table3[[#This Row],[Assessed Term]]*52,IF(AD58="semiannually",Table3[[#This Row],[Assessed Term]]*2," ")))))</f>
        <v xml:space="preserve"> </v>
      </c>
      <c r="AG58" s="69"/>
      <c r="AH58" s="69"/>
      <c r="AI58" s="71"/>
      <c r="AJ58" s="71"/>
      <c r="AK58" s="71"/>
      <c r="AL58" s="69"/>
      <c r="AM58" s="69"/>
      <c r="AN58" s="119"/>
      <c r="AO58" s="76" t="b">
        <f>IF(K58 = "Lease",+PV(AN58/(AF58/Table3[[#This Row],[Assessed Term]]),AF58,-AI58,0,IF(AE58="Beginning",1,0)))</f>
        <v>0</v>
      </c>
      <c r="AP58" s="69"/>
      <c r="AQ58" s="76">
        <f t="shared" si="6"/>
        <v>0</v>
      </c>
      <c r="AR58" s="72"/>
    </row>
    <row r="59" spans="1:44">
      <c r="A59" s="69"/>
      <c r="B59" s="70"/>
      <c r="C59" s="69"/>
      <c r="D59" s="69"/>
      <c r="E59" s="69"/>
      <c r="F59" s="69"/>
      <c r="G59" s="69"/>
      <c r="H59" s="69"/>
      <c r="I59" s="69"/>
      <c r="J59" s="69"/>
      <c r="K59" t="str">
        <f t="shared" si="0"/>
        <v>Not a Lease</v>
      </c>
      <c r="L59" s="69"/>
      <c r="M59" s="69"/>
      <c r="N59" s="69"/>
      <c r="O59" s="69"/>
      <c r="P59" s="69"/>
      <c r="Q59" s="69"/>
      <c r="R59" s="69"/>
      <c r="S59" s="69"/>
      <c r="T59" s="69"/>
      <c r="U59" s="69"/>
      <c r="V59" s="69"/>
      <c r="W59" s="69"/>
      <c r="X59" s="69"/>
      <c r="Y59" s="69"/>
      <c r="Z59">
        <f t="shared" si="5"/>
        <v>0</v>
      </c>
      <c r="AA59">
        <f t="shared" si="1"/>
        <v>0</v>
      </c>
      <c r="AB59">
        <f t="shared" si="3"/>
        <v>0</v>
      </c>
      <c r="AC59">
        <f>+IF(Table3[[#This Row],[Do Both Parties have to agree for extension to occur?]]="Yes",0,IF(AND(W59="Yes",Q59="Yes"),IF(R59=X59,R59,MAX(R59,X59)),IF(AND(W59="Yes",OR(Q59="No",Q59="")),X59,IF(AND(OR(W59="No",W59=""),Q59="Yes"),R59,0))))</f>
        <v>0</v>
      </c>
      <c r="AD59" s="69"/>
      <c r="AE59" s="69"/>
      <c r="AF59" t="str">
        <f>IF(AD59="Monthly",Table3[[#This Row],[Assessed Term]]*12,IF(AD59="quarterly",Table3[[#This Row],[Assessed Term]]*4,IF(AD59="annually",Table3[[#This Row],[Assessed Term]]*1,IF(AD59="weekly",Table3[[#This Row],[Assessed Term]]*52,IF(AD59="semiannually",Table3[[#This Row],[Assessed Term]]*2," ")))))</f>
        <v xml:space="preserve"> </v>
      </c>
      <c r="AG59" s="69"/>
      <c r="AH59" s="69"/>
      <c r="AI59" s="71"/>
      <c r="AJ59" s="71"/>
      <c r="AK59" s="71"/>
      <c r="AL59" s="69"/>
      <c r="AM59" s="69"/>
      <c r="AN59" s="119"/>
      <c r="AO59" s="76" t="b">
        <f>IF(K59 = "Lease",+PV(AN59/(AF59/Table3[[#This Row],[Assessed Term]]),AF59,-AI59,0,IF(AE59="Beginning",1,0)))</f>
        <v>0</v>
      </c>
      <c r="AP59" s="69"/>
      <c r="AQ59" s="76">
        <f t="shared" si="6"/>
        <v>0</v>
      </c>
      <c r="AR59" s="72"/>
    </row>
    <row r="60" spans="1:44">
      <c r="A60" s="69"/>
      <c r="B60" s="70"/>
      <c r="C60" s="69"/>
      <c r="D60" s="69"/>
      <c r="E60" s="69"/>
      <c r="F60" s="69"/>
      <c r="G60" s="69"/>
      <c r="H60" s="69"/>
      <c r="I60" s="69"/>
      <c r="J60" s="69"/>
      <c r="K60" t="str">
        <f t="shared" si="0"/>
        <v>Not a Lease</v>
      </c>
      <c r="L60" s="69"/>
      <c r="M60" s="69"/>
      <c r="N60" s="69"/>
      <c r="O60" s="69"/>
      <c r="P60" s="69"/>
      <c r="Q60" s="69"/>
      <c r="R60" s="69"/>
      <c r="S60" s="69"/>
      <c r="T60" s="69"/>
      <c r="U60" s="69"/>
      <c r="V60" s="69"/>
      <c r="W60" s="69"/>
      <c r="X60" s="69"/>
      <c r="Y60" s="69"/>
      <c r="Z60">
        <f t="shared" si="5"/>
        <v>0</v>
      </c>
      <c r="AA60">
        <f t="shared" si="1"/>
        <v>0</v>
      </c>
      <c r="AB60">
        <f t="shared" si="3"/>
        <v>0</v>
      </c>
      <c r="AC60">
        <f>+IF(Table3[[#This Row],[Do Both Parties have to agree for extension to occur?]]="Yes",0,IF(AND(W60="Yes",Q60="Yes"),IF(R60=X60,R60,MAX(R60,X60)),IF(AND(W60="Yes",OR(Q60="No",Q60="")),X60,IF(AND(OR(W60="No",W60=""),Q60="Yes"),R60,0))))</f>
        <v>0</v>
      </c>
      <c r="AD60" s="69"/>
      <c r="AE60" s="69"/>
      <c r="AF60" t="str">
        <f>IF(AD60="Monthly",Table3[[#This Row],[Assessed Term]]*12,IF(AD60="quarterly",Table3[[#This Row],[Assessed Term]]*4,IF(AD60="annually",Table3[[#This Row],[Assessed Term]]*1,IF(AD60="weekly",Table3[[#This Row],[Assessed Term]]*52,IF(AD60="semiannually",Table3[[#This Row],[Assessed Term]]*2," ")))))</f>
        <v xml:space="preserve"> </v>
      </c>
      <c r="AG60" s="69"/>
      <c r="AH60" s="69"/>
      <c r="AI60" s="71"/>
      <c r="AJ60" s="71"/>
      <c r="AK60" s="71"/>
      <c r="AL60" s="69"/>
      <c r="AM60" s="69"/>
      <c r="AN60" s="119"/>
      <c r="AO60" s="76" t="b">
        <f>IF(K60 = "Lease",+PV(AN60/(AF60/Table3[[#This Row],[Assessed Term]]),AF60,-AI60,0,IF(AE60="Beginning",1,0)))</f>
        <v>0</v>
      </c>
      <c r="AP60" s="69"/>
      <c r="AQ60" s="76">
        <f t="shared" si="6"/>
        <v>0</v>
      </c>
      <c r="AR60" s="72"/>
    </row>
    <row r="61" spans="1:44">
      <c r="A61" s="69"/>
      <c r="B61" s="70"/>
      <c r="C61" s="69"/>
      <c r="D61" s="69"/>
      <c r="E61" s="69"/>
      <c r="F61" s="69"/>
      <c r="G61" s="69"/>
      <c r="H61" s="69"/>
      <c r="I61" s="69"/>
      <c r="J61" s="69"/>
      <c r="K61" t="str">
        <f t="shared" si="0"/>
        <v>Not a Lease</v>
      </c>
      <c r="L61" s="69"/>
      <c r="M61" s="69"/>
      <c r="N61" s="69"/>
      <c r="O61" s="69"/>
      <c r="P61" s="69"/>
      <c r="Q61" s="69"/>
      <c r="R61" s="69"/>
      <c r="S61" s="69"/>
      <c r="T61" s="69"/>
      <c r="U61" s="69"/>
      <c r="V61" s="69"/>
      <c r="W61" s="69"/>
      <c r="X61" s="69"/>
      <c r="Y61" s="69"/>
      <c r="Z61">
        <f t="shared" si="5"/>
        <v>0</v>
      </c>
      <c r="AA61">
        <f t="shared" si="1"/>
        <v>0</v>
      </c>
      <c r="AB61">
        <f t="shared" si="3"/>
        <v>0</v>
      </c>
      <c r="AC61">
        <f>+IF(Table3[[#This Row],[Do Both Parties have to agree for extension to occur?]]="Yes",0,IF(AND(W61="Yes",Q61="Yes"),IF(R61=X61,R61,MAX(R61,X61)),IF(AND(W61="Yes",OR(Q61="No",Q61="")),X61,IF(AND(OR(W61="No",W61=""),Q61="Yes"),R61,0))))</f>
        <v>0</v>
      </c>
      <c r="AD61" s="69"/>
      <c r="AE61" s="69"/>
      <c r="AF61" t="str">
        <f>IF(AD61="Monthly",Table3[[#This Row],[Assessed Term]]*12,IF(AD61="quarterly",Table3[[#This Row],[Assessed Term]]*4,IF(AD61="annually",Table3[[#This Row],[Assessed Term]]*1,IF(AD61="weekly",Table3[[#This Row],[Assessed Term]]*52,IF(AD61="semiannually",Table3[[#This Row],[Assessed Term]]*2," ")))))</f>
        <v xml:space="preserve"> </v>
      </c>
      <c r="AG61" s="69"/>
      <c r="AH61" s="69"/>
      <c r="AI61" s="71"/>
      <c r="AJ61" s="71"/>
      <c r="AK61" s="71"/>
      <c r="AL61" s="69"/>
      <c r="AM61" s="69"/>
      <c r="AN61" s="119"/>
      <c r="AO61" s="76" t="b">
        <f>IF(K61 = "Lease",+PV(AN61/(AF61/Table3[[#This Row],[Assessed Term]]),AF61,-AI61,0,IF(AE61="Beginning",1,0)))</f>
        <v>0</v>
      </c>
      <c r="AP61" s="69"/>
      <c r="AQ61" s="76">
        <f t="shared" si="6"/>
        <v>0</v>
      </c>
      <c r="AR61" s="72"/>
    </row>
    <row r="62" spans="1:44">
      <c r="A62" s="69"/>
      <c r="B62" s="70"/>
      <c r="C62" s="69"/>
      <c r="D62" s="69"/>
      <c r="E62" s="69"/>
      <c r="F62" s="69"/>
      <c r="G62" s="69"/>
      <c r="H62" s="69"/>
      <c r="I62" s="69"/>
      <c r="J62" s="69"/>
      <c r="K62" t="str">
        <f t="shared" si="0"/>
        <v>Not a Lease</v>
      </c>
      <c r="L62" s="69"/>
      <c r="M62" s="69"/>
      <c r="N62" s="69"/>
      <c r="O62" s="69"/>
      <c r="P62" s="69"/>
      <c r="Q62" s="69"/>
      <c r="R62" s="69"/>
      <c r="S62" s="69"/>
      <c r="T62" s="69"/>
      <c r="U62" s="69"/>
      <c r="V62" s="69"/>
      <c r="W62" s="69"/>
      <c r="X62" s="69"/>
      <c r="Y62" s="69"/>
      <c r="Z62">
        <f t="shared" si="5"/>
        <v>0</v>
      </c>
      <c r="AA62">
        <f t="shared" si="1"/>
        <v>0</v>
      </c>
      <c r="AB62">
        <f t="shared" si="3"/>
        <v>0</v>
      </c>
      <c r="AC62">
        <f>+IF(Table3[[#This Row],[Do Both Parties have to agree for extension to occur?]]="Yes",0,IF(AND(W62="Yes",Q62="Yes"),IF(R62=X62,R62,MAX(R62,X62)),IF(AND(W62="Yes",OR(Q62="No",Q62="")),X62,IF(AND(OR(W62="No",W62=""),Q62="Yes"),R62,0))))</f>
        <v>0</v>
      </c>
      <c r="AD62" s="69"/>
      <c r="AE62" s="69"/>
      <c r="AF62" t="str">
        <f>IF(AD62="Monthly",Table3[[#This Row],[Assessed Term]]*12,IF(AD62="quarterly",Table3[[#This Row],[Assessed Term]]*4,IF(AD62="annually",Table3[[#This Row],[Assessed Term]]*1,IF(AD62="weekly",Table3[[#This Row],[Assessed Term]]*52,IF(AD62="semiannually",Table3[[#This Row],[Assessed Term]]*2," ")))))</f>
        <v xml:space="preserve"> </v>
      </c>
      <c r="AG62" s="69"/>
      <c r="AH62" s="69"/>
      <c r="AI62" s="71"/>
      <c r="AJ62" s="71"/>
      <c r="AK62" s="71"/>
      <c r="AL62" s="69"/>
      <c r="AM62" s="69"/>
      <c r="AN62" s="119"/>
      <c r="AO62" s="76" t="b">
        <f>IF(K62 = "Lease",+PV(AN62/(AF62/Table3[[#This Row],[Assessed Term]]),AF62,-AI62,0,IF(AE62="Beginning",1,0)))</f>
        <v>0</v>
      </c>
      <c r="AP62" s="69"/>
      <c r="AQ62" s="76">
        <f t="shared" si="6"/>
        <v>0</v>
      </c>
      <c r="AR62" s="72"/>
    </row>
    <row r="63" spans="1:44">
      <c r="A63" s="69"/>
      <c r="B63" s="70"/>
      <c r="C63" s="69"/>
      <c r="D63" s="69"/>
      <c r="E63" s="69"/>
      <c r="F63" s="69"/>
      <c r="G63" s="69"/>
      <c r="H63" s="69"/>
      <c r="I63" s="69"/>
      <c r="J63" s="69"/>
      <c r="K63" t="str">
        <f t="shared" si="0"/>
        <v>Not a Lease</v>
      </c>
      <c r="L63" s="69"/>
      <c r="M63" s="69"/>
      <c r="N63" s="69"/>
      <c r="O63" s="69"/>
      <c r="P63" s="69"/>
      <c r="Q63" s="69"/>
      <c r="R63" s="69"/>
      <c r="S63" s="69"/>
      <c r="T63" s="69"/>
      <c r="U63" s="69"/>
      <c r="V63" s="69"/>
      <c r="W63" s="69"/>
      <c r="X63" s="69"/>
      <c r="Y63" s="69"/>
      <c r="Z63">
        <f t="shared" si="5"/>
        <v>0</v>
      </c>
      <c r="AA63">
        <f t="shared" si="1"/>
        <v>0</v>
      </c>
      <c r="AB63">
        <f t="shared" si="3"/>
        <v>0</v>
      </c>
      <c r="AC63">
        <f>+IF(Table3[[#This Row],[Do Both Parties have to agree for extension to occur?]]="Yes",0,IF(AND(W63="Yes",Q63="Yes"),IF(R63=X63,R63,MAX(R63,X63)),IF(AND(W63="Yes",OR(Q63="No",Q63="")),X63,IF(AND(OR(W63="No",W63=""),Q63="Yes"),R63,0))))</f>
        <v>0</v>
      </c>
      <c r="AD63" s="69"/>
      <c r="AE63" s="69"/>
      <c r="AF63" t="str">
        <f>IF(AD63="Monthly",Table3[[#This Row],[Assessed Term]]*12,IF(AD63="quarterly",Table3[[#This Row],[Assessed Term]]*4,IF(AD63="annually",Table3[[#This Row],[Assessed Term]]*1,IF(AD63="weekly",Table3[[#This Row],[Assessed Term]]*52,IF(AD63="semiannually",Table3[[#This Row],[Assessed Term]]*2," ")))))</f>
        <v xml:space="preserve"> </v>
      </c>
      <c r="AG63" s="69"/>
      <c r="AH63" s="69"/>
      <c r="AI63" s="71"/>
      <c r="AJ63" s="71"/>
      <c r="AK63" s="71"/>
      <c r="AL63" s="69"/>
      <c r="AM63" s="69"/>
      <c r="AN63" s="119"/>
      <c r="AO63" s="76" t="b">
        <f>IF(K63 = "Lease",+PV(AN63/(AF63/Table3[[#This Row],[Assessed Term]]),AF63,-AI63,0,IF(AE63="Beginning",1,0)))</f>
        <v>0</v>
      </c>
      <c r="AP63" s="69"/>
      <c r="AQ63" s="76">
        <f t="shared" si="6"/>
        <v>0</v>
      </c>
      <c r="AR63" s="72"/>
    </row>
    <row r="64" spans="1:44">
      <c r="A64" s="69"/>
      <c r="B64" s="70"/>
      <c r="C64" s="69"/>
      <c r="D64" s="69"/>
      <c r="E64" s="69"/>
      <c r="F64" s="69"/>
      <c r="G64" s="69"/>
      <c r="H64" s="69"/>
      <c r="I64" s="69"/>
      <c r="J64" s="69"/>
      <c r="K64" t="str">
        <f t="shared" si="0"/>
        <v>Not a Lease</v>
      </c>
      <c r="L64" s="69"/>
      <c r="M64" s="69"/>
      <c r="N64" s="69"/>
      <c r="O64" s="69"/>
      <c r="P64" s="69"/>
      <c r="Q64" s="69"/>
      <c r="R64" s="69"/>
      <c r="S64" s="69"/>
      <c r="T64" s="69"/>
      <c r="U64" s="69"/>
      <c r="V64" s="69"/>
      <c r="W64" s="69"/>
      <c r="X64" s="69"/>
      <c r="Y64" s="69"/>
      <c r="Z64">
        <f t="shared" si="5"/>
        <v>0</v>
      </c>
      <c r="AA64">
        <f t="shared" si="1"/>
        <v>0</v>
      </c>
      <c r="AB64">
        <f t="shared" si="3"/>
        <v>0</v>
      </c>
      <c r="AC64">
        <f>+IF(Table3[[#This Row],[Do Both Parties have to agree for extension to occur?]]="Yes",0,IF(AND(W64="Yes",Q64="Yes"),IF(R64=X64,R64,MAX(R64,X64)),IF(AND(W64="Yes",OR(Q64="No",Q64="")),X64,IF(AND(OR(W64="No",W64=""),Q64="Yes"),R64,0))))</f>
        <v>0</v>
      </c>
      <c r="AD64" s="69"/>
      <c r="AE64" s="69"/>
      <c r="AF64" t="str">
        <f>IF(AD64="Monthly",Table3[[#This Row],[Assessed Term]]*12,IF(AD64="quarterly",Table3[[#This Row],[Assessed Term]]*4,IF(AD64="annually",Table3[[#This Row],[Assessed Term]]*1,IF(AD64="weekly",Table3[[#This Row],[Assessed Term]]*52,IF(AD64="semiannually",Table3[[#This Row],[Assessed Term]]*2," ")))))</f>
        <v xml:space="preserve"> </v>
      </c>
      <c r="AG64" s="69"/>
      <c r="AH64" s="69"/>
      <c r="AI64" s="71"/>
      <c r="AJ64" s="71"/>
      <c r="AK64" s="71"/>
      <c r="AL64" s="69"/>
      <c r="AM64" s="69"/>
      <c r="AN64" s="119"/>
      <c r="AO64" s="76" t="b">
        <f>IF(K64 = "Lease",+PV(AN64/(AF64/Table3[[#This Row],[Assessed Term]]),AF64,-AI64,0,IF(AE64="Beginning",1,0)))</f>
        <v>0</v>
      </c>
      <c r="AP64" s="69"/>
      <c r="AQ64" s="76">
        <f t="shared" si="6"/>
        <v>0</v>
      </c>
      <c r="AR64" s="72"/>
    </row>
    <row r="65" spans="1:44">
      <c r="A65" s="69"/>
      <c r="B65" s="70"/>
      <c r="C65" s="69"/>
      <c r="D65" s="69"/>
      <c r="E65" s="69"/>
      <c r="F65" s="69"/>
      <c r="G65" s="69"/>
      <c r="H65" s="69"/>
      <c r="I65" s="69"/>
      <c r="J65" s="69"/>
      <c r="K65" t="str">
        <f t="shared" si="0"/>
        <v>Not a Lease</v>
      </c>
      <c r="L65" s="69"/>
      <c r="M65" s="69"/>
      <c r="N65" s="69"/>
      <c r="O65" s="69"/>
      <c r="P65" s="69"/>
      <c r="Q65" s="69"/>
      <c r="R65" s="69"/>
      <c r="S65" s="69"/>
      <c r="T65" s="69"/>
      <c r="U65" s="69"/>
      <c r="V65" s="69"/>
      <c r="W65" s="69"/>
      <c r="X65" s="69"/>
      <c r="Y65" s="69"/>
      <c r="Z65">
        <f t="shared" si="5"/>
        <v>0</v>
      </c>
      <c r="AA65">
        <f t="shared" si="1"/>
        <v>0</v>
      </c>
      <c r="AB65">
        <f t="shared" si="3"/>
        <v>0</v>
      </c>
      <c r="AC65">
        <f>+IF(Table3[[#This Row],[Do Both Parties have to agree for extension to occur?]]="Yes",0,IF(AND(W65="Yes",Q65="Yes"),IF(R65=X65,R65,MAX(R65,X65)),IF(AND(W65="Yes",OR(Q65="No",Q65="")),X65,IF(AND(OR(W65="No",W65=""),Q65="Yes"),R65,0))))</f>
        <v>0</v>
      </c>
      <c r="AD65" s="69"/>
      <c r="AE65" s="69"/>
      <c r="AF65" t="str">
        <f>IF(AD65="Monthly",Table3[[#This Row],[Assessed Term]]*12,IF(AD65="quarterly",Table3[[#This Row],[Assessed Term]]*4,IF(AD65="annually",Table3[[#This Row],[Assessed Term]]*1,IF(AD65="weekly",Table3[[#This Row],[Assessed Term]]*52,IF(AD65="semiannually",Table3[[#This Row],[Assessed Term]]*2," ")))))</f>
        <v xml:space="preserve"> </v>
      </c>
      <c r="AG65" s="69"/>
      <c r="AH65" s="69"/>
      <c r="AI65" s="71"/>
      <c r="AJ65" s="71"/>
      <c r="AK65" s="71"/>
      <c r="AL65" s="69"/>
      <c r="AM65" s="69"/>
      <c r="AN65" s="119"/>
      <c r="AO65" s="76" t="b">
        <f>IF(K65 = "Lease",+PV(AN65/(AF65/Table3[[#This Row],[Assessed Term]]),AF65,-AI65,0,IF(AE65="Beginning",1,0)))</f>
        <v>0</v>
      </c>
      <c r="AP65" s="69"/>
      <c r="AQ65" s="76">
        <f t="shared" si="6"/>
        <v>0</v>
      </c>
      <c r="AR65" s="72"/>
    </row>
    <row r="66" spans="1:44">
      <c r="A66" s="69"/>
      <c r="B66" s="70"/>
      <c r="C66" s="69"/>
      <c r="D66" s="69"/>
      <c r="E66" s="69"/>
      <c r="F66" s="69"/>
      <c r="G66" s="69"/>
      <c r="H66" s="69"/>
      <c r="I66" s="69"/>
      <c r="J66" s="69"/>
      <c r="K66" t="str">
        <f t="shared" si="0"/>
        <v>Not a Lease</v>
      </c>
      <c r="L66" s="69"/>
      <c r="M66" s="69"/>
      <c r="N66" s="69"/>
      <c r="O66" s="69"/>
      <c r="P66" s="69"/>
      <c r="Q66" s="69"/>
      <c r="R66" s="69"/>
      <c r="S66" s="69"/>
      <c r="T66" s="69"/>
      <c r="U66" s="69"/>
      <c r="V66" s="69"/>
      <c r="W66" s="69"/>
      <c r="X66" s="69"/>
      <c r="Y66" s="69"/>
      <c r="Z66">
        <f t="shared" si="5"/>
        <v>0</v>
      </c>
      <c r="AA66">
        <f t="shared" si="1"/>
        <v>0</v>
      </c>
      <c r="AB66">
        <f t="shared" si="3"/>
        <v>0</v>
      </c>
      <c r="AC66">
        <f>+IF(Table3[[#This Row],[Do Both Parties have to agree for extension to occur?]]="Yes",0,IF(AND(W66="Yes",Q66="Yes"),IF(R66=X66,R66,MAX(R66,X66)),IF(AND(W66="Yes",OR(Q66="No",Q66="")),X66,IF(AND(OR(W66="No",W66=""),Q66="Yes"),R66,0))))</f>
        <v>0</v>
      </c>
      <c r="AD66" s="69"/>
      <c r="AE66" s="69"/>
      <c r="AF66" t="str">
        <f>IF(AD66="Monthly",Table3[[#This Row],[Assessed Term]]*12,IF(AD66="quarterly",Table3[[#This Row],[Assessed Term]]*4,IF(AD66="annually",Table3[[#This Row],[Assessed Term]]*1,IF(AD66="weekly",Table3[[#This Row],[Assessed Term]]*52,IF(AD66="semiannually",Table3[[#This Row],[Assessed Term]]*2," ")))))</f>
        <v xml:space="preserve"> </v>
      </c>
      <c r="AG66" s="69"/>
      <c r="AH66" s="69"/>
      <c r="AI66" s="71"/>
      <c r="AJ66" s="71"/>
      <c r="AK66" s="71"/>
      <c r="AL66" s="69"/>
      <c r="AM66" s="69"/>
      <c r="AN66" s="119"/>
      <c r="AO66" s="76" t="b">
        <f>IF(K66 = "Lease",+PV(AN66/(AF66/Table3[[#This Row],[Assessed Term]]),AF66,-AI66,0,IF(AE66="Beginning",1,0)))</f>
        <v>0</v>
      </c>
      <c r="AP66" s="69"/>
      <c r="AQ66" s="76">
        <f t="shared" si="6"/>
        <v>0</v>
      </c>
      <c r="AR66" s="72"/>
    </row>
    <row r="67" spans="1:44">
      <c r="A67" s="69"/>
      <c r="B67" s="70"/>
      <c r="C67" s="69"/>
      <c r="D67" s="69"/>
      <c r="E67" s="69"/>
      <c r="F67" s="69"/>
      <c r="G67" s="69"/>
      <c r="H67" s="69"/>
      <c r="I67" s="69"/>
      <c r="J67" s="69"/>
      <c r="K67" t="str">
        <f t="shared" si="0"/>
        <v>Not a Lease</v>
      </c>
      <c r="L67" s="69"/>
      <c r="M67" s="69"/>
      <c r="N67" s="69"/>
      <c r="O67" s="69"/>
      <c r="P67" s="69"/>
      <c r="Q67" s="69"/>
      <c r="R67" s="69"/>
      <c r="S67" s="69"/>
      <c r="T67" s="69"/>
      <c r="U67" s="69"/>
      <c r="V67" s="69"/>
      <c r="W67" s="69"/>
      <c r="X67" s="69"/>
      <c r="Y67" s="69"/>
      <c r="Z67">
        <f t="shared" si="5"/>
        <v>0</v>
      </c>
      <c r="AA67">
        <f t="shared" si="1"/>
        <v>0</v>
      </c>
      <c r="AB67">
        <f t="shared" si="3"/>
        <v>0</v>
      </c>
      <c r="AC67">
        <f>+IF(Table3[[#This Row],[Do Both Parties have to agree for extension to occur?]]="Yes",0,IF(AND(W67="Yes",Q67="Yes"),IF(R67=X67,R67,MAX(R67,X67)),IF(AND(W67="Yes",OR(Q67="No",Q67="")),X67,IF(AND(OR(W67="No",W67=""),Q67="Yes"),R67,0))))</f>
        <v>0</v>
      </c>
      <c r="AD67" s="69"/>
      <c r="AE67" s="69"/>
      <c r="AF67" t="str">
        <f>IF(AD67="Monthly",Table3[[#This Row],[Assessed Term]]*12,IF(AD67="quarterly",Table3[[#This Row],[Assessed Term]]*4,IF(AD67="annually",Table3[[#This Row],[Assessed Term]]*1,IF(AD67="weekly",Table3[[#This Row],[Assessed Term]]*52,IF(AD67="semiannually",Table3[[#This Row],[Assessed Term]]*2," ")))))</f>
        <v xml:space="preserve"> </v>
      </c>
      <c r="AG67" s="69"/>
      <c r="AH67" s="69"/>
      <c r="AI67" s="71"/>
      <c r="AJ67" s="71"/>
      <c r="AK67" s="71"/>
      <c r="AL67" s="69"/>
      <c r="AM67" s="69"/>
      <c r="AN67" s="119"/>
      <c r="AO67" s="76" t="b">
        <f>IF(K67 = "Lease",+PV(AN67/(AF67/Table3[[#This Row],[Assessed Term]]),AF67,-AI67,0,IF(AE67="Beginning",1,0)))</f>
        <v>0</v>
      </c>
      <c r="AP67" s="69"/>
      <c r="AQ67" s="76">
        <f t="shared" si="6"/>
        <v>0</v>
      </c>
      <c r="AR67" s="72"/>
    </row>
    <row r="68" spans="1:44">
      <c r="A68" s="69"/>
      <c r="B68" s="70"/>
      <c r="C68" s="69"/>
      <c r="D68" s="69"/>
      <c r="E68" s="69"/>
      <c r="F68" s="69"/>
      <c r="G68" s="69"/>
      <c r="H68" s="69"/>
      <c r="I68" s="69"/>
      <c r="J68" s="69"/>
      <c r="K68" t="str">
        <f t="shared" ref="K68:K131" si="7">+IF(AND(F68="yes",G68="yes", H68="no",E68&lt;&gt;"Intangible Asset",E68&lt;&gt;"Service",I68 ="yes", E68&lt;&gt;"Investment", E68&lt;&gt;"Inventory",J68&lt;&gt;"Yes",E68&lt;&gt;""),"Lease","Not a Lease")</f>
        <v>Not a Lease</v>
      </c>
      <c r="L68" s="69"/>
      <c r="M68" s="69"/>
      <c r="N68" s="69"/>
      <c r="O68" s="69"/>
      <c r="P68" s="69"/>
      <c r="Q68" s="69"/>
      <c r="R68" s="69"/>
      <c r="S68" s="69"/>
      <c r="T68" s="69"/>
      <c r="U68" s="69"/>
      <c r="V68" s="69"/>
      <c r="W68" s="69"/>
      <c r="X68" s="69"/>
      <c r="Y68" s="69"/>
      <c r="Z68">
        <f t="shared" ref="Z68:Z99" si="8">+IF(AB68=0,AA68+AC68,AB68)</f>
        <v>0</v>
      </c>
      <c r="AA68">
        <f t="shared" ref="AA68:AA131" si="9">+IF(AND(S68="Yes",M68="Yes"),IF(OR(O68=U68,O68&lt;U68),U68,O68),L68)</f>
        <v>0</v>
      </c>
      <c r="AB68">
        <f t="shared" ref="AB68:AB131" si="10">+IF(M68=S68,MAX(O68,U68),(IF(OR(T68="yes",N68="Yes"),MIN(O68,U68),IF(AND(T68="Yes",N68="No"),U68,IF(AND(T68="No",N68="Yes"),O68,0)))))</f>
        <v>0</v>
      </c>
      <c r="AC68">
        <f>+IF(Table3[[#This Row],[Do Both Parties have to agree for extension to occur?]]="Yes",0,IF(AND(W68="Yes",Q68="Yes"),IF(R68=X68,R68,MAX(R68,X68)),IF(AND(W68="Yes",OR(Q68="No",Q68="")),X68,IF(AND(OR(W68="No",W68=""),Q68="Yes"),R68,0))))</f>
        <v>0</v>
      </c>
      <c r="AD68" s="69"/>
      <c r="AE68" s="69"/>
      <c r="AF68" t="str">
        <f>IF(AD68="Monthly",Table3[[#This Row],[Assessed Term]]*12,IF(AD68="quarterly",Table3[[#This Row],[Assessed Term]]*4,IF(AD68="annually",Table3[[#This Row],[Assessed Term]]*1,IF(AD68="weekly",Table3[[#This Row],[Assessed Term]]*52,IF(AD68="semiannually",Table3[[#This Row],[Assessed Term]]*2," ")))))</f>
        <v xml:space="preserve"> </v>
      </c>
      <c r="AG68" s="69"/>
      <c r="AH68" s="69"/>
      <c r="AI68" s="71"/>
      <c r="AJ68" s="71"/>
      <c r="AK68" s="71"/>
      <c r="AL68" s="69"/>
      <c r="AM68" s="69"/>
      <c r="AN68" s="119"/>
      <c r="AO68" s="76" t="b">
        <f>IF(K68 = "Lease",+PV(AN68/(AF68/Table3[[#This Row],[Assessed Term]]),AF68,-AI68,0,IF(AE68="Beginning",1,0)))</f>
        <v>0</v>
      </c>
      <c r="AP68" s="69"/>
      <c r="AQ68" s="76">
        <f t="shared" ref="AQ68:AQ99" si="11">+IF(AP68 = "no",AO68,0)</f>
        <v>0</v>
      </c>
      <c r="AR68" s="72"/>
    </row>
    <row r="69" spans="1:44">
      <c r="A69" s="69"/>
      <c r="B69" s="70"/>
      <c r="C69" s="69"/>
      <c r="D69" s="69"/>
      <c r="E69" s="69"/>
      <c r="F69" s="69"/>
      <c r="G69" s="69"/>
      <c r="H69" s="69"/>
      <c r="I69" s="69"/>
      <c r="J69" s="69"/>
      <c r="K69" t="str">
        <f t="shared" si="7"/>
        <v>Not a Lease</v>
      </c>
      <c r="L69" s="69"/>
      <c r="M69" s="69"/>
      <c r="N69" s="69"/>
      <c r="O69" s="69"/>
      <c r="P69" s="69"/>
      <c r="Q69" s="69"/>
      <c r="R69" s="69"/>
      <c r="S69" s="69"/>
      <c r="T69" s="69"/>
      <c r="U69" s="69"/>
      <c r="V69" s="69"/>
      <c r="W69" s="69"/>
      <c r="X69" s="69"/>
      <c r="Y69" s="69"/>
      <c r="Z69">
        <f t="shared" si="8"/>
        <v>0</v>
      </c>
      <c r="AA69">
        <f t="shared" si="9"/>
        <v>0</v>
      </c>
      <c r="AB69">
        <f t="shared" si="10"/>
        <v>0</v>
      </c>
      <c r="AC69">
        <f>+IF(Table3[[#This Row],[Do Both Parties have to agree for extension to occur?]]="Yes",0,IF(AND(W69="Yes",Q69="Yes"),IF(R69=X69,R69,MAX(R69,X69)),IF(AND(W69="Yes",OR(Q69="No",Q69="")),X69,IF(AND(OR(W69="No",W69=""),Q69="Yes"),R69,0))))</f>
        <v>0</v>
      </c>
      <c r="AD69" s="69"/>
      <c r="AE69" s="69"/>
      <c r="AF69" t="str">
        <f>IF(AD69="Monthly",Table3[[#This Row],[Assessed Term]]*12,IF(AD69="quarterly",Table3[[#This Row],[Assessed Term]]*4,IF(AD69="annually",Table3[[#This Row],[Assessed Term]]*1,IF(AD69="weekly",Table3[[#This Row],[Assessed Term]]*52,IF(AD69="semiannually",Table3[[#This Row],[Assessed Term]]*2," ")))))</f>
        <v xml:space="preserve"> </v>
      </c>
      <c r="AG69" s="69"/>
      <c r="AH69" s="69"/>
      <c r="AI69" s="71"/>
      <c r="AJ69" s="71"/>
      <c r="AK69" s="71"/>
      <c r="AL69" s="69"/>
      <c r="AM69" s="69"/>
      <c r="AN69" s="119"/>
      <c r="AO69" s="76" t="b">
        <f>IF(K69 = "Lease",+PV(AN69/(AF69/Table3[[#This Row],[Assessed Term]]),AF69,-AI69,0,IF(AE69="Beginning",1,0)))</f>
        <v>0</v>
      </c>
      <c r="AP69" s="69"/>
      <c r="AQ69" s="76">
        <f t="shared" si="11"/>
        <v>0</v>
      </c>
      <c r="AR69" s="72"/>
    </row>
    <row r="70" spans="1:44">
      <c r="A70" s="69"/>
      <c r="B70" s="70"/>
      <c r="C70" s="69"/>
      <c r="D70" s="69"/>
      <c r="E70" s="69"/>
      <c r="F70" s="69"/>
      <c r="G70" s="69"/>
      <c r="H70" s="69"/>
      <c r="I70" s="69"/>
      <c r="J70" s="69"/>
      <c r="K70" t="str">
        <f t="shared" si="7"/>
        <v>Not a Lease</v>
      </c>
      <c r="L70" s="69"/>
      <c r="M70" s="69"/>
      <c r="N70" s="69"/>
      <c r="O70" s="69"/>
      <c r="P70" s="69"/>
      <c r="Q70" s="69"/>
      <c r="R70" s="69"/>
      <c r="S70" s="69"/>
      <c r="T70" s="69"/>
      <c r="U70" s="69"/>
      <c r="V70" s="69"/>
      <c r="W70" s="69"/>
      <c r="X70" s="69"/>
      <c r="Y70" s="69"/>
      <c r="Z70">
        <f t="shared" si="8"/>
        <v>0</v>
      </c>
      <c r="AA70">
        <f t="shared" si="9"/>
        <v>0</v>
      </c>
      <c r="AB70">
        <f t="shared" si="10"/>
        <v>0</v>
      </c>
      <c r="AC70">
        <f>+IF(Table3[[#This Row],[Do Both Parties have to agree for extension to occur?]]="Yes",0,IF(AND(W70="Yes",Q70="Yes"),IF(R70=X70,R70,MAX(R70,X70)),IF(AND(W70="Yes",OR(Q70="No",Q70="")),X70,IF(AND(OR(W70="No",W70=""),Q70="Yes"),R70,0))))</f>
        <v>0</v>
      </c>
      <c r="AD70" s="69"/>
      <c r="AE70" s="69"/>
      <c r="AF70" t="str">
        <f>IF(AD70="Monthly",Table3[[#This Row],[Assessed Term]]*12,IF(AD70="quarterly",Table3[[#This Row],[Assessed Term]]*4,IF(AD70="annually",Table3[[#This Row],[Assessed Term]]*1,IF(AD70="weekly",Table3[[#This Row],[Assessed Term]]*52,IF(AD70="semiannually",Table3[[#This Row],[Assessed Term]]*2," ")))))</f>
        <v xml:space="preserve"> </v>
      </c>
      <c r="AG70" s="69"/>
      <c r="AH70" s="69"/>
      <c r="AI70" s="71"/>
      <c r="AJ70" s="71"/>
      <c r="AK70" s="71"/>
      <c r="AL70" s="69"/>
      <c r="AM70" s="69"/>
      <c r="AN70" s="119"/>
      <c r="AO70" s="76" t="b">
        <f>IF(K70 = "Lease",+PV(AN70/(AF70/Table3[[#This Row],[Assessed Term]]),AF70,-AI70,0,IF(AE70="Beginning",1,0)))</f>
        <v>0</v>
      </c>
      <c r="AP70" s="69"/>
      <c r="AQ70" s="76">
        <f t="shared" si="11"/>
        <v>0</v>
      </c>
      <c r="AR70" s="72"/>
    </row>
    <row r="71" spans="1:44">
      <c r="A71" s="69"/>
      <c r="B71" s="70"/>
      <c r="C71" s="69"/>
      <c r="D71" s="69"/>
      <c r="E71" s="69"/>
      <c r="F71" s="69"/>
      <c r="G71" s="69"/>
      <c r="H71" s="69"/>
      <c r="I71" s="69"/>
      <c r="J71" s="69"/>
      <c r="K71" t="str">
        <f t="shared" si="7"/>
        <v>Not a Lease</v>
      </c>
      <c r="L71" s="69"/>
      <c r="M71" s="69"/>
      <c r="N71" s="69"/>
      <c r="O71" s="69"/>
      <c r="P71" s="69"/>
      <c r="Q71" s="69"/>
      <c r="R71" s="69"/>
      <c r="S71" s="69"/>
      <c r="T71" s="69"/>
      <c r="U71" s="69"/>
      <c r="V71" s="69"/>
      <c r="W71" s="69"/>
      <c r="X71" s="69"/>
      <c r="Y71" s="69"/>
      <c r="Z71">
        <f t="shared" si="8"/>
        <v>0</v>
      </c>
      <c r="AA71">
        <f t="shared" si="9"/>
        <v>0</v>
      </c>
      <c r="AB71">
        <f t="shared" si="10"/>
        <v>0</v>
      </c>
      <c r="AC71">
        <f>+IF(Table3[[#This Row],[Do Both Parties have to agree for extension to occur?]]="Yes",0,IF(AND(W71="Yes",Q71="Yes"),IF(R71=X71,R71,MAX(R71,X71)),IF(AND(W71="Yes",OR(Q71="No",Q71="")),X71,IF(AND(OR(W71="No",W71=""),Q71="Yes"),R71,0))))</f>
        <v>0</v>
      </c>
      <c r="AD71" s="69"/>
      <c r="AE71" s="69"/>
      <c r="AF71" t="str">
        <f>IF(AD71="Monthly",Table3[[#This Row],[Assessed Term]]*12,IF(AD71="quarterly",Table3[[#This Row],[Assessed Term]]*4,IF(AD71="annually",Table3[[#This Row],[Assessed Term]]*1,IF(AD71="weekly",Table3[[#This Row],[Assessed Term]]*52,IF(AD71="semiannually",Table3[[#This Row],[Assessed Term]]*2," ")))))</f>
        <v xml:space="preserve"> </v>
      </c>
      <c r="AG71" s="69"/>
      <c r="AH71" s="69"/>
      <c r="AI71" s="71"/>
      <c r="AJ71" s="71"/>
      <c r="AK71" s="71"/>
      <c r="AL71" s="69"/>
      <c r="AM71" s="69"/>
      <c r="AN71" s="119"/>
      <c r="AO71" s="76" t="b">
        <f>IF(K71 = "Lease",+PV(AN71/(AF71/Table3[[#This Row],[Assessed Term]]),AF71,-AI71,0,IF(AE71="Beginning",1,0)))</f>
        <v>0</v>
      </c>
      <c r="AP71" s="69"/>
      <c r="AQ71" s="76">
        <f t="shared" si="11"/>
        <v>0</v>
      </c>
      <c r="AR71" s="72"/>
    </row>
    <row r="72" spans="1:44">
      <c r="A72" s="69"/>
      <c r="B72" s="70"/>
      <c r="C72" s="69"/>
      <c r="D72" s="69"/>
      <c r="E72" s="69"/>
      <c r="F72" s="69"/>
      <c r="G72" s="69"/>
      <c r="H72" s="69"/>
      <c r="I72" s="69"/>
      <c r="J72" s="69"/>
      <c r="K72" t="str">
        <f t="shared" si="7"/>
        <v>Not a Lease</v>
      </c>
      <c r="L72" s="69"/>
      <c r="M72" s="69"/>
      <c r="N72" s="69"/>
      <c r="O72" s="69"/>
      <c r="P72" s="69"/>
      <c r="Q72" s="69"/>
      <c r="R72" s="69"/>
      <c r="S72" s="69"/>
      <c r="T72" s="69"/>
      <c r="U72" s="69"/>
      <c r="V72" s="69"/>
      <c r="W72" s="69"/>
      <c r="X72" s="69"/>
      <c r="Y72" s="69"/>
      <c r="Z72">
        <f t="shared" si="8"/>
        <v>0</v>
      </c>
      <c r="AA72">
        <f t="shared" si="9"/>
        <v>0</v>
      </c>
      <c r="AB72">
        <f t="shared" si="10"/>
        <v>0</v>
      </c>
      <c r="AC72">
        <f>+IF(Table3[[#This Row],[Do Both Parties have to agree for extension to occur?]]="Yes",0,IF(AND(W72="Yes",Q72="Yes"),IF(R72=X72,R72,MAX(R72,X72)),IF(AND(W72="Yes",OR(Q72="No",Q72="")),X72,IF(AND(OR(W72="No",W72=""),Q72="Yes"),R72,0))))</f>
        <v>0</v>
      </c>
      <c r="AD72" s="69"/>
      <c r="AE72" s="69"/>
      <c r="AF72" t="str">
        <f>IF(AD72="Monthly",Table3[[#This Row],[Assessed Term]]*12,IF(AD72="quarterly",Table3[[#This Row],[Assessed Term]]*4,IF(AD72="annually",Table3[[#This Row],[Assessed Term]]*1,IF(AD72="weekly",Table3[[#This Row],[Assessed Term]]*52,IF(AD72="semiannually",Table3[[#This Row],[Assessed Term]]*2," ")))))</f>
        <v xml:space="preserve"> </v>
      </c>
      <c r="AG72" s="69"/>
      <c r="AH72" s="69"/>
      <c r="AI72" s="71"/>
      <c r="AJ72" s="71"/>
      <c r="AK72" s="71"/>
      <c r="AL72" s="69"/>
      <c r="AM72" s="69"/>
      <c r="AN72" s="119"/>
      <c r="AO72" s="76" t="b">
        <f>IF(K72 = "Lease",+PV(AN72/(AF72/Table3[[#This Row],[Assessed Term]]),AF72,-AI72,0,IF(AE72="Beginning",1,0)))</f>
        <v>0</v>
      </c>
      <c r="AP72" s="69"/>
      <c r="AQ72" s="76">
        <f t="shared" si="11"/>
        <v>0</v>
      </c>
      <c r="AR72" s="72"/>
    </row>
    <row r="73" spans="1:44">
      <c r="A73" s="69"/>
      <c r="B73" s="70"/>
      <c r="C73" s="69"/>
      <c r="D73" s="69"/>
      <c r="E73" s="69"/>
      <c r="F73" s="69"/>
      <c r="G73" s="69"/>
      <c r="H73" s="69"/>
      <c r="I73" s="69"/>
      <c r="J73" s="69"/>
      <c r="K73" t="str">
        <f t="shared" si="7"/>
        <v>Not a Lease</v>
      </c>
      <c r="L73" s="69"/>
      <c r="M73" s="69"/>
      <c r="N73" s="69"/>
      <c r="O73" s="69"/>
      <c r="P73" s="69"/>
      <c r="Q73" s="69"/>
      <c r="R73" s="69"/>
      <c r="S73" s="69"/>
      <c r="T73" s="69"/>
      <c r="U73" s="69"/>
      <c r="V73" s="69"/>
      <c r="W73" s="69"/>
      <c r="X73" s="69"/>
      <c r="Y73" s="69"/>
      <c r="Z73">
        <f t="shared" si="8"/>
        <v>0</v>
      </c>
      <c r="AA73">
        <f t="shared" si="9"/>
        <v>0</v>
      </c>
      <c r="AB73">
        <f t="shared" si="10"/>
        <v>0</v>
      </c>
      <c r="AC73">
        <f>+IF(Table3[[#This Row],[Do Both Parties have to agree for extension to occur?]]="Yes",0,IF(AND(W73="Yes",Q73="Yes"),IF(R73=X73,R73,MAX(R73,X73)),IF(AND(W73="Yes",OR(Q73="No",Q73="")),X73,IF(AND(OR(W73="No",W73=""),Q73="Yes"),R73,0))))</f>
        <v>0</v>
      </c>
      <c r="AD73" s="69"/>
      <c r="AE73" s="69"/>
      <c r="AF73" t="str">
        <f>IF(AD73="Monthly",Table3[[#This Row],[Assessed Term]]*12,IF(AD73="quarterly",Table3[[#This Row],[Assessed Term]]*4,IF(AD73="annually",Table3[[#This Row],[Assessed Term]]*1,IF(AD73="weekly",Table3[[#This Row],[Assessed Term]]*52,IF(AD73="semiannually",Table3[[#This Row],[Assessed Term]]*2," ")))))</f>
        <v xml:space="preserve"> </v>
      </c>
      <c r="AG73" s="69"/>
      <c r="AH73" s="69"/>
      <c r="AI73" s="71"/>
      <c r="AJ73" s="71"/>
      <c r="AK73" s="71"/>
      <c r="AL73" s="69"/>
      <c r="AM73" s="69"/>
      <c r="AN73" s="119"/>
      <c r="AO73" s="76" t="b">
        <f>IF(K73 = "Lease",+PV(AN73/(AF73/Table3[[#This Row],[Assessed Term]]),AF73,-AI73,0,IF(AE73="Beginning",1,0)))</f>
        <v>0</v>
      </c>
      <c r="AP73" s="69"/>
      <c r="AQ73" s="76">
        <f t="shared" si="11"/>
        <v>0</v>
      </c>
      <c r="AR73" s="72"/>
    </row>
    <row r="74" spans="1:44">
      <c r="A74" s="69"/>
      <c r="B74" s="70"/>
      <c r="C74" s="69"/>
      <c r="D74" s="69"/>
      <c r="E74" s="69"/>
      <c r="F74" s="69"/>
      <c r="G74" s="69"/>
      <c r="H74" s="69"/>
      <c r="I74" s="69"/>
      <c r="J74" s="69"/>
      <c r="K74" t="str">
        <f t="shared" si="7"/>
        <v>Not a Lease</v>
      </c>
      <c r="L74" s="69"/>
      <c r="M74" s="69"/>
      <c r="N74" s="69"/>
      <c r="O74" s="69"/>
      <c r="P74" s="69"/>
      <c r="Q74" s="69"/>
      <c r="R74" s="69"/>
      <c r="S74" s="69"/>
      <c r="T74" s="69"/>
      <c r="U74" s="69"/>
      <c r="V74" s="69"/>
      <c r="W74" s="69"/>
      <c r="X74" s="69"/>
      <c r="Y74" s="69"/>
      <c r="Z74">
        <f t="shared" si="8"/>
        <v>0</v>
      </c>
      <c r="AA74">
        <f t="shared" si="9"/>
        <v>0</v>
      </c>
      <c r="AB74">
        <f t="shared" si="10"/>
        <v>0</v>
      </c>
      <c r="AC74">
        <f>+IF(Table3[[#This Row],[Do Both Parties have to agree for extension to occur?]]="Yes",0,IF(AND(W74="Yes",Q74="Yes"),IF(R74=X74,R74,MAX(R74,X74)),IF(AND(W74="Yes",OR(Q74="No",Q74="")),X74,IF(AND(OR(W74="No",W74=""),Q74="Yes"),R74,0))))</f>
        <v>0</v>
      </c>
      <c r="AD74" s="69"/>
      <c r="AE74" s="69"/>
      <c r="AF74" t="str">
        <f>IF(AD74="Monthly",Table3[[#This Row],[Assessed Term]]*12,IF(AD74="quarterly",Table3[[#This Row],[Assessed Term]]*4,IF(AD74="annually",Table3[[#This Row],[Assessed Term]]*1,IF(AD74="weekly",Table3[[#This Row],[Assessed Term]]*52,IF(AD74="semiannually",Table3[[#This Row],[Assessed Term]]*2," ")))))</f>
        <v xml:space="preserve"> </v>
      </c>
      <c r="AG74" s="69"/>
      <c r="AH74" s="69"/>
      <c r="AI74" s="71"/>
      <c r="AJ74" s="71"/>
      <c r="AK74" s="71"/>
      <c r="AL74" s="69"/>
      <c r="AM74" s="69"/>
      <c r="AN74" s="119"/>
      <c r="AO74" s="76" t="b">
        <f>IF(K74 = "Lease",+PV(AN74/(AF74/Table3[[#This Row],[Assessed Term]]),AF74,-AI74,0,IF(AE74="Beginning",1,0)))</f>
        <v>0</v>
      </c>
      <c r="AP74" s="69"/>
      <c r="AQ74" s="76">
        <f t="shared" si="11"/>
        <v>0</v>
      </c>
      <c r="AR74" s="72"/>
    </row>
    <row r="75" spans="1:44">
      <c r="A75" s="69"/>
      <c r="B75" s="70"/>
      <c r="C75" s="69"/>
      <c r="D75" s="69"/>
      <c r="E75" s="69"/>
      <c r="F75" s="69"/>
      <c r="G75" s="69"/>
      <c r="H75" s="69"/>
      <c r="I75" s="69"/>
      <c r="J75" s="69"/>
      <c r="K75" t="str">
        <f t="shared" si="7"/>
        <v>Not a Lease</v>
      </c>
      <c r="L75" s="69"/>
      <c r="M75" s="69"/>
      <c r="N75" s="69"/>
      <c r="O75" s="69"/>
      <c r="P75" s="69"/>
      <c r="Q75" s="69"/>
      <c r="R75" s="69"/>
      <c r="S75" s="69"/>
      <c r="T75" s="69"/>
      <c r="U75" s="69"/>
      <c r="V75" s="69"/>
      <c r="W75" s="69"/>
      <c r="X75" s="69"/>
      <c r="Y75" s="69"/>
      <c r="Z75">
        <f t="shared" si="8"/>
        <v>0</v>
      </c>
      <c r="AA75">
        <f t="shared" si="9"/>
        <v>0</v>
      </c>
      <c r="AB75">
        <f t="shared" si="10"/>
        <v>0</v>
      </c>
      <c r="AC75">
        <f>+IF(Table3[[#This Row],[Do Both Parties have to agree for extension to occur?]]="Yes",0,IF(AND(W75="Yes",Q75="Yes"),IF(R75=X75,R75,MAX(R75,X75)),IF(AND(W75="Yes",OR(Q75="No",Q75="")),X75,IF(AND(OR(W75="No",W75=""),Q75="Yes"),R75,0))))</f>
        <v>0</v>
      </c>
      <c r="AD75" s="69"/>
      <c r="AE75" s="69"/>
      <c r="AF75" t="str">
        <f>IF(AD75="Monthly",Table3[[#This Row],[Assessed Term]]*12,IF(AD75="quarterly",Table3[[#This Row],[Assessed Term]]*4,IF(AD75="annually",Table3[[#This Row],[Assessed Term]]*1,IF(AD75="weekly",Table3[[#This Row],[Assessed Term]]*52,IF(AD75="semiannually",Table3[[#This Row],[Assessed Term]]*2," ")))))</f>
        <v xml:space="preserve"> </v>
      </c>
      <c r="AG75" s="69"/>
      <c r="AH75" s="69"/>
      <c r="AI75" s="71"/>
      <c r="AJ75" s="71"/>
      <c r="AK75" s="71"/>
      <c r="AL75" s="69"/>
      <c r="AM75" s="69"/>
      <c r="AN75" s="119"/>
      <c r="AO75" s="76" t="b">
        <f>IF(K75 = "Lease",+PV(AN75/(AF75/Table3[[#This Row],[Assessed Term]]),AF75,-AI75,0,IF(AE75="Beginning",1,0)))</f>
        <v>0</v>
      </c>
      <c r="AP75" s="69"/>
      <c r="AQ75" s="76">
        <f t="shared" si="11"/>
        <v>0</v>
      </c>
      <c r="AR75" s="72"/>
    </row>
    <row r="76" spans="1:44">
      <c r="A76" s="69"/>
      <c r="B76" s="70"/>
      <c r="C76" s="69"/>
      <c r="D76" s="69"/>
      <c r="E76" s="69"/>
      <c r="F76" s="69"/>
      <c r="G76" s="69"/>
      <c r="H76" s="69"/>
      <c r="I76" s="69"/>
      <c r="J76" s="69"/>
      <c r="K76" t="str">
        <f t="shared" si="7"/>
        <v>Not a Lease</v>
      </c>
      <c r="L76" s="69"/>
      <c r="M76" s="69"/>
      <c r="N76" s="69"/>
      <c r="O76" s="69"/>
      <c r="P76" s="69"/>
      <c r="Q76" s="69"/>
      <c r="R76" s="69"/>
      <c r="S76" s="69"/>
      <c r="T76" s="69"/>
      <c r="U76" s="69"/>
      <c r="V76" s="69"/>
      <c r="W76" s="69"/>
      <c r="X76" s="69"/>
      <c r="Y76" s="69"/>
      <c r="Z76">
        <f t="shared" si="8"/>
        <v>0</v>
      </c>
      <c r="AA76">
        <f t="shared" si="9"/>
        <v>0</v>
      </c>
      <c r="AB76">
        <f t="shared" si="10"/>
        <v>0</v>
      </c>
      <c r="AC76">
        <f>+IF(Table3[[#This Row],[Do Both Parties have to agree for extension to occur?]]="Yes",0,IF(AND(W76="Yes",Q76="Yes"),IF(R76=X76,R76,MAX(R76,X76)),IF(AND(W76="Yes",OR(Q76="No",Q76="")),X76,IF(AND(OR(W76="No",W76=""),Q76="Yes"),R76,0))))</f>
        <v>0</v>
      </c>
      <c r="AD76" s="69"/>
      <c r="AE76" s="69"/>
      <c r="AF76" t="str">
        <f>IF(AD76="Monthly",Table3[[#This Row],[Assessed Term]]*12,IF(AD76="quarterly",Table3[[#This Row],[Assessed Term]]*4,IF(AD76="annually",Table3[[#This Row],[Assessed Term]]*1,IF(AD76="weekly",Table3[[#This Row],[Assessed Term]]*52,IF(AD76="semiannually",Table3[[#This Row],[Assessed Term]]*2," ")))))</f>
        <v xml:space="preserve"> </v>
      </c>
      <c r="AG76" s="69"/>
      <c r="AH76" s="69"/>
      <c r="AI76" s="71"/>
      <c r="AJ76" s="71"/>
      <c r="AK76" s="71"/>
      <c r="AL76" s="69"/>
      <c r="AM76" s="69"/>
      <c r="AN76" s="119"/>
      <c r="AO76" s="76" t="b">
        <f>IF(K76 = "Lease",+PV(AN76/(AF76/Table3[[#This Row],[Assessed Term]]),AF76,-AI76,0,IF(AE76="Beginning",1,0)))</f>
        <v>0</v>
      </c>
      <c r="AP76" s="69"/>
      <c r="AQ76" s="76">
        <f t="shared" si="11"/>
        <v>0</v>
      </c>
      <c r="AR76" s="72"/>
    </row>
    <row r="77" spans="1:44">
      <c r="A77" s="69"/>
      <c r="B77" s="70"/>
      <c r="C77" s="69"/>
      <c r="D77" s="69"/>
      <c r="E77" s="69"/>
      <c r="F77" s="69"/>
      <c r="G77" s="69"/>
      <c r="H77" s="69"/>
      <c r="I77" s="69"/>
      <c r="J77" s="69"/>
      <c r="K77" t="str">
        <f t="shared" si="7"/>
        <v>Not a Lease</v>
      </c>
      <c r="L77" s="69"/>
      <c r="M77" s="69"/>
      <c r="N77" s="69"/>
      <c r="O77" s="69"/>
      <c r="P77" s="69"/>
      <c r="Q77" s="69"/>
      <c r="R77" s="69"/>
      <c r="S77" s="69"/>
      <c r="T77" s="69"/>
      <c r="U77" s="69"/>
      <c r="V77" s="69"/>
      <c r="W77" s="69"/>
      <c r="X77" s="69"/>
      <c r="Y77" s="69"/>
      <c r="Z77">
        <f t="shared" si="8"/>
        <v>0</v>
      </c>
      <c r="AA77">
        <f t="shared" si="9"/>
        <v>0</v>
      </c>
      <c r="AB77">
        <f t="shared" si="10"/>
        <v>0</v>
      </c>
      <c r="AC77">
        <f>+IF(Table3[[#This Row],[Do Both Parties have to agree for extension to occur?]]="Yes",0,IF(AND(W77="Yes",Q77="Yes"),IF(R77=X77,R77,MAX(R77,X77)),IF(AND(W77="Yes",OR(Q77="No",Q77="")),X77,IF(AND(OR(W77="No",W77=""),Q77="Yes"),R77,0))))</f>
        <v>0</v>
      </c>
      <c r="AD77" s="69"/>
      <c r="AE77" s="69"/>
      <c r="AF77" t="str">
        <f>IF(AD77="Monthly",Table3[[#This Row],[Assessed Term]]*12,IF(AD77="quarterly",Table3[[#This Row],[Assessed Term]]*4,IF(AD77="annually",Table3[[#This Row],[Assessed Term]]*1,IF(AD77="weekly",Table3[[#This Row],[Assessed Term]]*52,IF(AD77="semiannually",Table3[[#This Row],[Assessed Term]]*2," ")))))</f>
        <v xml:space="preserve"> </v>
      </c>
      <c r="AG77" s="69"/>
      <c r="AH77" s="69"/>
      <c r="AI77" s="71"/>
      <c r="AJ77" s="71"/>
      <c r="AK77" s="71"/>
      <c r="AL77" s="69"/>
      <c r="AM77" s="69"/>
      <c r="AN77" s="119"/>
      <c r="AO77" s="76" t="b">
        <f>IF(K77 = "Lease",+PV(AN77/(AF77/Table3[[#This Row],[Assessed Term]]),AF77,-AI77,0,IF(AE77="Beginning",1,0)))</f>
        <v>0</v>
      </c>
      <c r="AP77" s="69"/>
      <c r="AQ77" s="76">
        <f t="shared" si="11"/>
        <v>0</v>
      </c>
      <c r="AR77" s="72"/>
    </row>
    <row r="78" spans="1:44">
      <c r="A78" s="69"/>
      <c r="B78" s="70"/>
      <c r="C78" s="69"/>
      <c r="D78" s="69"/>
      <c r="E78" s="69"/>
      <c r="F78" s="69"/>
      <c r="G78" s="69"/>
      <c r="H78" s="69"/>
      <c r="I78" s="69"/>
      <c r="J78" s="69"/>
      <c r="K78" t="str">
        <f t="shared" si="7"/>
        <v>Not a Lease</v>
      </c>
      <c r="L78" s="69"/>
      <c r="M78" s="69"/>
      <c r="N78" s="69"/>
      <c r="O78" s="69"/>
      <c r="P78" s="69"/>
      <c r="Q78" s="69"/>
      <c r="R78" s="69"/>
      <c r="S78" s="69"/>
      <c r="T78" s="69"/>
      <c r="U78" s="69"/>
      <c r="V78" s="69"/>
      <c r="W78" s="69"/>
      <c r="X78" s="69"/>
      <c r="Y78" s="69"/>
      <c r="Z78">
        <f t="shared" si="8"/>
        <v>0</v>
      </c>
      <c r="AA78">
        <f t="shared" si="9"/>
        <v>0</v>
      </c>
      <c r="AB78">
        <f t="shared" si="10"/>
        <v>0</v>
      </c>
      <c r="AC78">
        <f>+IF(Table3[[#This Row],[Do Both Parties have to agree for extension to occur?]]="Yes",0,IF(AND(W78="Yes",Q78="Yes"),IF(R78=X78,R78,MAX(R78,X78)),IF(AND(W78="Yes",OR(Q78="No",Q78="")),X78,IF(AND(OR(W78="No",W78=""),Q78="Yes"),R78,0))))</f>
        <v>0</v>
      </c>
      <c r="AD78" s="69"/>
      <c r="AE78" s="69"/>
      <c r="AF78" t="str">
        <f>IF(AD78="Monthly",Table3[[#This Row],[Assessed Term]]*12,IF(AD78="quarterly",Table3[[#This Row],[Assessed Term]]*4,IF(AD78="annually",Table3[[#This Row],[Assessed Term]]*1,IF(AD78="weekly",Table3[[#This Row],[Assessed Term]]*52,IF(AD78="semiannually",Table3[[#This Row],[Assessed Term]]*2," ")))))</f>
        <v xml:space="preserve"> </v>
      </c>
      <c r="AG78" s="69"/>
      <c r="AH78" s="69"/>
      <c r="AI78" s="71"/>
      <c r="AJ78" s="71"/>
      <c r="AK78" s="71"/>
      <c r="AL78" s="69"/>
      <c r="AM78" s="69"/>
      <c r="AN78" s="119"/>
      <c r="AO78" s="76" t="b">
        <f>IF(K78 = "Lease",+PV(AN78/(AF78/Table3[[#This Row],[Assessed Term]]),AF78,-AI78,0,IF(AE78="Beginning",1,0)))</f>
        <v>0</v>
      </c>
      <c r="AP78" s="69"/>
      <c r="AQ78" s="76">
        <f t="shared" si="11"/>
        <v>0</v>
      </c>
      <c r="AR78" s="72"/>
    </row>
    <row r="79" spans="1:44">
      <c r="A79" s="69"/>
      <c r="B79" s="70"/>
      <c r="C79" s="69"/>
      <c r="D79" s="69"/>
      <c r="E79" s="69"/>
      <c r="F79" s="69"/>
      <c r="G79" s="69"/>
      <c r="H79" s="69"/>
      <c r="I79" s="69"/>
      <c r="J79" s="69"/>
      <c r="K79" t="str">
        <f t="shared" si="7"/>
        <v>Not a Lease</v>
      </c>
      <c r="L79" s="69"/>
      <c r="M79" s="69"/>
      <c r="N79" s="69"/>
      <c r="O79" s="69"/>
      <c r="P79" s="69"/>
      <c r="Q79" s="69"/>
      <c r="R79" s="69"/>
      <c r="S79" s="69"/>
      <c r="T79" s="69"/>
      <c r="U79" s="69"/>
      <c r="V79" s="69"/>
      <c r="W79" s="69"/>
      <c r="X79" s="69"/>
      <c r="Y79" s="69"/>
      <c r="Z79">
        <f t="shared" si="8"/>
        <v>0</v>
      </c>
      <c r="AA79">
        <f t="shared" si="9"/>
        <v>0</v>
      </c>
      <c r="AB79">
        <f t="shared" si="10"/>
        <v>0</v>
      </c>
      <c r="AC79">
        <f>+IF(Table3[[#This Row],[Do Both Parties have to agree for extension to occur?]]="Yes",0,IF(AND(W79="Yes",Q79="Yes"),IF(R79=X79,R79,MAX(R79,X79)),IF(AND(W79="Yes",OR(Q79="No",Q79="")),X79,IF(AND(OR(W79="No",W79=""),Q79="Yes"),R79,0))))</f>
        <v>0</v>
      </c>
      <c r="AD79" s="69"/>
      <c r="AE79" s="69"/>
      <c r="AF79" t="str">
        <f>IF(AD79="Monthly",Table3[[#This Row],[Assessed Term]]*12,IF(AD79="quarterly",Table3[[#This Row],[Assessed Term]]*4,IF(AD79="annually",Table3[[#This Row],[Assessed Term]]*1,IF(AD79="weekly",Table3[[#This Row],[Assessed Term]]*52,IF(AD79="semiannually",Table3[[#This Row],[Assessed Term]]*2," ")))))</f>
        <v xml:space="preserve"> </v>
      </c>
      <c r="AG79" s="69"/>
      <c r="AH79" s="69"/>
      <c r="AI79" s="71"/>
      <c r="AJ79" s="71"/>
      <c r="AK79" s="71"/>
      <c r="AL79" s="69"/>
      <c r="AM79" s="69"/>
      <c r="AN79" s="119"/>
      <c r="AO79" s="76" t="b">
        <f>IF(K79 = "Lease",+PV(AN79/(AF79/Table3[[#This Row],[Assessed Term]]),AF79,-AI79,0,IF(AE79="Beginning",1,0)))</f>
        <v>0</v>
      </c>
      <c r="AP79" s="69"/>
      <c r="AQ79" s="76">
        <f t="shared" si="11"/>
        <v>0</v>
      </c>
      <c r="AR79" s="72"/>
    </row>
    <row r="80" spans="1:44">
      <c r="A80" s="69"/>
      <c r="B80" s="70"/>
      <c r="C80" s="69"/>
      <c r="D80" s="69"/>
      <c r="E80" s="69"/>
      <c r="F80" s="69"/>
      <c r="G80" s="69"/>
      <c r="H80" s="69"/>
      <c r="I80" s="69"/>
      <c r="J80" s="69"/>
      <c r="K80" t="str">
        <f t="shared" si="7"/>
        <v>Not a Lease</v>
      </c>
      <c r="L80" s="69"/>
      <c r="M80" s="69"/>
      <c r="N80" s="69"/>
      <c r="O80" s="69"/>
      <c r="P80" s="69"/>
      <c r="Q80" s="69"/>
      <c r="R80" s="69"/>
      <c r="S80" s="69"/>
      <c r="T80" s="69"/>
      <c r="U80" s="69"/>
      <c r="V80" s="69"/>
      <c r="W80" s="69"/>
      <c r="X80" s="69"/>
      <c r="Y80" s="69"/>
      <c r="Z80">
        <f t="shared" si="8"/>
        <v>0</v>
      </c>
      <c r="AA80">
        <f t="shared" si="9"/>
        <v>0</v>
      </c>
      <c r="AB80">
        <f t="shared" si="10"/>
        <v>0</v>
      </c>
      <c r="AC80">
        <f>+IF(Table3[[#This Row],[Do Both Parties have to agree for extension to occur?]]="Yes",0,IF(AND(W80="Yes",Q80="Yes"),IF(R80=X80,R80,MAX(R80,X80)),IF(AND(W80="Yes",OR(Q80="No",Q80="")),X80,IF(AND(OR(W80="No",W80=""),Q80="Yes"),R80,0))))</f>
        <v>0</v>
      </c>
      <c r="AD80" s="69"/>
      <c r="AE80" s="69"/>
      <c r="AF80" t="str">
        <f>IF(AD80="Monthly",Table3[[#This Row],[Assessed Term]]*12,IF(AD80="quarterly",Table3[[#This Row],[Assessed Term]]*4,IF(AD80="annually",Table3[[#This Row],[Assessed Term]]*1,IF(AD80="weekly",Table3[[#This Row],[Assessed Term]]*52,IF(AD80="semiannually",Table3[[#This Row],[Assessed Term]]*2," ")))))</f>
        <v xml:space="preserve"> </v>
      </c>
      <c r="AG80" s="69"/>
      <c r="AH80" s="69"/>
      <c r="AI80" s="71"/>
      <c r="AJ80" s="71"/>
      <c r="AK80" s="71"/>
      <c r="AL80" s="69"/>
      <c r="AM80" s="69"/>
      <c r="AN80" s="119"/>
      <c r="AO80" s="76" t="b">
        <f>IF(K80 = "Lease",+PV(AN80/(AF80/Table3[[#This Row],[Assessed Term]]),AF80,-AI80,0,IF(AE80="Beginning",1,0)))</f>
        <v>0</v>
      </c>
      <c r="AP80" s="69"/>
      <c r="AQ80" s="76">
        <f t="shared" si="11"/>
        <v>0</v>
      </c>
      <c r="AR80" s="72"/>
    </row>
    <row r="81" spans="1:44">
      <c r="A81" s="69"/>
      <c r="B81" s="70"/>
      <c r="C81" s="69"/>
      <c r="D81" s="69"/>
      <c r="E81" s="69"/>
      <c r="F81" s="69"/>
      <c r="G81" s="69"/>
      <c r="H81" s="69"/>
      <c r="I81" s="69"/>
      <c r="J81" s="69"/>
      <c r="K81" t="str">
        <f t="shared" si="7"/>
        <v>Not a Lease</v>
      </c>
      <c r="L81" s="69"/>
      <c r="M81" s="69"/>
      <c r="N81" s="69"/>
      <c r="O81" s="69"/>
      <c r="P81" s="69"/>
      <c r="Q81" s="69"/>
      <c r="R81" s="69"/>
      <c r="S81" s="69"/>
      <c r="T81" s="69"/>
      <c r="U81" s="69"/>
      <c r="V81" s="69"/>
      <c r="W81" s="69"/>
      <c r="X81" s="69"/>
      <c r="Y81" s="69"/>
      <c r="Z81">
        <f t="shared" si="8"/>
        <v>0</v>
      </c>
      <c r="AA81">
        <f t="shared" si="9"/>
        <v>0</v>
      </c>
      <c r="AB81">
        <f t="shared" si="10"/>
        <v>0</v>
      </c>
      <c r="AC81">
        <f>+IF(Table3[[#This Row],[Do Both Parties have to agree for extension to occur?]]="Yes",0,IF(AND(W81="Yes",Q81="Yes"),IF(R81=X81,R81,MAX(R81,X81)),IF(AND(W81="Yes",OR(Q81="No",Q81="")),X81,IF(AND(OR(W81="No",W81=""),Q81="Yes"),R81,0))))</f>
        <v>0</v>
      </c>
      <c r="AD81" s="69"/>
      <c r="AE81" s="69"/>
      <c r="AF81" t="str">
        <f>IF(AD81="Monthly",Table3[[#This Row],[Assessed Term]]*12,IF(AD81="quarterly",Table3[[#This Row],[Assessed Term]]*4,IF(AD81="annually",Table3[[#This Row],[Assessed Term]]*1,IF(AD81="weekly",Table3[[#This Row],[Assessed Term]]*52,IF(AD81="semiannually",Table3[[#This Row],[Assessed Term]]*2," ")))))</f>
        <v xml:space="preserve"> </v>
      </c>
      <c r="AG81" s="69"/>
      <c r="AH81" s="69"/>
      <c r="AI81" s="71"/>
      <c r="AJ81" s="71"/>
      <c r="AK81" s="71"/>
      <c r="AL81" s="69"/>
      <c r="AM81" s="69"/>
      <c r="AN81" s="119"/>
      <c r="AO81" s="76" t="b">
        <f>IF(K81 = "Lease",+PV(AN81/(AF81/Table3[[#This Row],[Assessed Term]]),AF81,-AI81,0,IF(AE81="Beginning",1,0)))</f>
        <v>0</v>
      </c>
      <c r="AP81" s="69"/>
      <c r="AQ81" s="76">
        <f t="shared" si="11"/>
        <v>0</v>
      </c>
      <c r="AR81" s="72"/>
    </row>
    <row r="82" spans="1:44">
      <c r="A82" s="69"/>
      <c r="B82" s="70"/>
      <c r="C82" s="69"/>
      <c r="D82" s="69"/>
      <c r="E82" s="69"/>
      <c r="F82" s="69"/>
      <c r="G82" s="69"/>
      <c r="H82" s="69"/>
      <c r="I82" s="69"/>
      <c r="J82" s="69"/>
      <c r="K82" t="str">
        <f t="shared" si="7"/>
        <v>Not a Lease</v>
      </c>
      <c r="L82" s="69"/>
      <c r="M82" s="69"/>
      <c r="N82" s="69"/>
      <c r="O82" s="69"/>
      <c r="P82" s="69"/>
      <c r="Q82" s="69"/>
      <c r="R82" s="69"/>
      <c r="S82" s="69"/>
      <c r="T82" s="69"/>
      <c r="U82" s="69"/>
      <c r="V82" s="69"/>
      <c r="W82" s="69"/>
      <c r="X82" s="69"/>
      <c r="Y82" s="69"/>
      <c r="Z82">
        <f t="shared" si="8"/>
        <v>0</v>
      </c>
      <c r="AA82">
        <f t="shared" si="9"/>
        <v>0</v>
      </c>
      <c r="AB82">
        <f t="shared" si="10"/>
        <v>0</v>
      </c>
      <c r="AC82">
        <f>+IF(Table3[[#This Row],[Do Both Parties have to agree for extension to occur?]]="Yes",0,IF(AND(W82="Yes",Q82="Yes"),IF(R82=X82,R82,MAX(R82,X82)),IF(AND(W82="Yes",OR(Q82="No",Q82="")),X82,IF(AND(OR(W82="No",W82=""),Q82="Yes"),R82,0))))</f>
        <v>0</v>
      </c>
      <c r="AD82" s="69"/>
      <c r="AE82" s="69"/>
      <c r="AF82" t="str">
        <f>IF(AD82="Monthly",Table3[[#This Row],[Assessed Term]]*12,IF(AD82="quarterly",Table3[[#This Row],[Assessed Term]]*4,IF(AD82="annually",Table3[[#This Row],[Assessed Term]]*1,IF(AD82="weekly",Table3[[#This Row],[Assessed Term]]*52,IF(AD82="semiannually",Table3[[#This Row],[Assessed Term]]*2," ")))))</f>
        <v xml:space="preserve"> </v>
      </c>
      <c r="AG82" s="69"/>
      <c r="AH82" s="69"/>
      <c r="AI82" s="71"/>
      <c r="AJ82" s="71"/>
      <c r="AK82" s="71"/>
      <c r="AL82" s="69"/>
      <c r="AM82" s="69"/>
      <c r="AN82" s="119"/>
      <c r="AO82" s="76" t="b">
        <f>IF(K82 = "Lease",+PV(AN82/(AF82/Table3[[#This Row],[Assessed Term]]),AF82,-AI82,0,IF(AE82="Beginning",1,0)))</f>
        <v>0</v>
      </c>
      <c r="AP82" s="69"/>
      <c r="AQ82" s="76">
        <f t="shared" si="11"/>
        <v>0</v>
      </c>
      <c r="AR82" s="72"/>
    </row>
    <row r="83" spans="1:44">
      <c r="A83" s="69"/>
      <c r="B83" s="70"/>
      <c r="C83" s="69"/>
      <c r="D83" s="69"/>
      <c r="E83" s="69"/>
      <c r="F83" s="69"/>
      <c r="G83" s="69"/>
      <c r="H83" s="69"/>
      <c r="I83" s="69"/>
      <c r="J83" s="69"/>
      <c r="K83" t="str">
        <f t="shared" si="7"/>
        <v>Not a Lease</v>
      </c>
      <c r="L83" s="69"/>
      <c r="M83" s="69"/>
      <c r="N83" s="69"/>
      <c r="O83" s="69"/>
      <c r="P83" s="69"/>
      <c r="Q83" s="69"/>
      <c r="R83" s="69"/>
      <c r="S83" s="69"/>
      <c r="T83" s="69"/>
      <c r="U83" s="69"/>
      <c r="V83" s="69"/>
      <c r="W83" s="69"/>
      <c r="X83" s="69"/>
      <c r="Y83" s="69"/>
      <c r="Z83">
        <f t="shared" si="8"/>
        <v>0</v>
      </c>
      <c r="AA83">
        <f t="shared" si="9"/>
        <v>0</v>
      </c>
      <c r="AB83">
        <f t="shared" si="10"/>
        <v>0</v>
      </c>
      <c r="AC83">
        <f>+IF(Table3[[#This Row],[Do Both Parties have to agree for extension to occur?]]="Yes",0,IF(AND(W83="Yes",Q83="Yes"),IF(R83=X83,R83,MAX(R83,X83)),IF(AND(W83="Yes",OR(Q83="No",Q83="")),X83,IF(AND(OR(W83="No",W83=""),Q83="Yes"),R83,0))))</f>
        <v>0</v>
      </c>
      <c r="AD83" s="69"/>
      <c r="AE83" s="69"/>
      <c r="AF83" t="str">
        <f>IF(AD83="Monthly",Table3[[#This Row],[Assessed Term]]*12,IF(AD83="quarterly",Table3[[#This Row],[Assessed Term]]*4,IF(AD83="annually",Table3[[#This Row],[Assessed Term]]*1,IF(AD83="weekly",Table3[[#This Row],[Assessed Term]]*52,IF(AD83="semiannually",Table3[[#This Row],[Assessed Term]]*2," ")))))</f>
        <v xml:space="preserve"> </v>
      </c>
      <c r="AG83" s="69"/>
      <c r="AH83" s="69"/>
      <c r="AI83" s="71"/>
      <c r="AJ83" s="71"/>
      <c r="AK83" s="71"/>
      <c r="AL83" s="69"/>
      <c r="AM83" s="69"/>
      <c r="AN83" s="119"/>
      <c r="AO83" s="76" t="b">
        <f>IF(K83 = "Lease",+PV(AN83/(AF83/Table3[[#This Row],[Assessed Term]]),AF83,-AI83,0,IF(AE83="Beginning",1,0)))</f>
        <v>0</v>
      </c>
      <c r="AP83" s="69"/>
      <c r="AQ83" s="76">
        <f t="shared" si="11"/>
        <v>0</v>
      </c>
      <c r="AR83" s="72"/>
    </row>
    <row r="84" spans="1:44">
      <c r="A84" s="69"/>
      <c r="B84" s="70"/>
      <c r="C84" s="69"/>
      <c r="D84" s="69"/>
      <c r="E84" s="69"/>
      <c r="F84" s="69"/>
      <c r="G84" s="69"/>
      <c r="H84" s="69"/>
      <c r="I84" s="69"/>
      <c r="J84" s="69"/>
      <c r="K84" t="str">
        <f t="shared" si="7"/>
        <v>Not a Lease</v>
      </c>
      <c r="L84" s="69"/>
      <c r="M84" s="69"/>
      <c r="N84" s="69"/>
      <c r="O84" s="69"/>
      <c r="P84" s="69"/>
      <c r="Q84" s="69"/>
      <c r="R84" s="69"/>
      <c r="S84" s="69"/>
      <c r="T84" s="69"/>
      <c r="U84" s="69"/>
      <c r="V84" s="69"/>
      <c r="W84" s="69"/>
      <c r="X84" s="69"/>
      <c r="Y84" s="69"/>
      <c r="Z84">
        <f t="shared" si="8"/>
        <v>0</v>
      </c>
      <c r="AA84">
        <f t="shared" si="9"/>
        <v>0</v>
      </c>
      <c r="AB84">
        <f t="shared" si="10"/>
        <v>0</v>
      </c>
      <c r="AC84">
        <f>+IF(Table3[[#This Row],[Do Both Parties have to agree for extension to occur?]]="Yes",0,IF(AND(W84="Yes",Q84="Yes"),IF(R84=X84,R84,MAX(R84,X84)),IF(AND(W84="Yes",OR(Q84="No",Q84="")),X84,IF(AND(OR(W84="No",W84=""),Q84="Yes"),R84,0))))</f>
        <v>0</v>
      </c>
      <c r="AD84" s="69"/>
      <c r="AE84" s="69"/>
      <c r="AF84" t="str">
        <f>IF(AD84="Monthly",Table3[[#This Row],[Assessed Term]]*12,IF(AD84="quarterly",Table3[[#This Row],[Assessed Term]]*4,IF(AD84="annually",Table3[[#This Row],[Assessed Term]]*1,IF(AD84="weekly",Table3[[#This Row],[Assessed Term]]*52,IF(AD84="semiannually",Table3[[#This Row],[Assessed Term]]*2," ")))))</f>
        <v xml:space="preserve"> </v>
      </c>
      <c r="AG84" s="69"/>
      <c r="AH84" s="69"/>
      <c r="AI84" s="71"/>
      <c r="AJ84" s="71"/>
      <c r="AK84" s="71"/>
      <c r="AL84" s="69"/>
      <c r="AM84" s="69"/>
      <c r="AN84" s="119"/>
      <c r="AO84" s="76" t="b">
        <f>IF(K84 = "Lease",+PV(AN84/(AF84/Table3[[#This Row],[Assessed Term]]),AF84,-AI84,0,IF(AE84="Beginning",1,0)))</f>
        <v>0</v>
      </c>
      <c r="AP84" s="69"/>
      <c r="AQ84" s="76">
        <f t="shared" si="11"/>
        <v>0</v>
      </c>
      <c r="AR84" s="72"/>
    </row>
    <row r="85" spans="1:44">
      <c r="A85" s="69"/>
      <c r="B85" s="70"/>
      <c r="C85" s="69"/>
      <c r="D85" s="69"/>
      <c r="E85" s="69"/>
      <c r="F85" s="69"/>
      <c r="G85" s="69"/>
      <c r="H85" s="69"/>
      <c r="I85" s="69"/>
      <c r="J85" s="69"/>
      <c r="K85" t="str">
        <f t="shared" si="7"/>
        <v>Not a Lease</v>
      </c>
      <c r="L85" s="69"/>
      <c r="M85" s="69"/>
      <c r="N85" s="69"/>
      <c r="O85" s="69"/>
      <c r="P85" s="69"/>
      <c r="Q85" s="69"/>
      <c r="R85" s="69"/>
      <c r="S85" s="69"/>
      <c r="T85" s="69"/>
      <c r="U85" s="69"/>
      <c r="V85" s="69"/>
      <c r="W85" s="69"/>
      <c r="X85" s="69"/>
      <c r="Y85" s="69"/>
      <c r="Z85">
        <f t="shared" si="8"/>
        <v>0</v>
      </c>
      <c r="AA85">
        <f t="shared" si="9"/>
        <v>0</v>
      </c>
      <c r="AB85">
        <f t="shared" si="10"/>
        <v>0</v>
      </c>
      <c r="AC85">
        <f>+IF(Table3[[#This Row],[Do Both Parties have to agree for extension to occur?]]="Yes",0,IF(AND(W85="Yes",Q85="Yes"),IF(R85=X85,R85,MAX(R85,X85)),IF(AND(W85="Yes",OR(Q85="No",Q85="")),X85,IF(AND(OR(W85="No",W85=""),Q85="Yes"),R85,0))))</f>
        <v>0</v>
      </c>
      <c r="AD85" s="69"/>
      <c r="AE85" s="69"/>
      <c r="AF85" t="str">
        <f>IF(AD85="Monthly",Table3[[#This Row],[Assessed Term]]*12,IF(AD85="quarterly",Table3[[#This Row],[Assessed Term]]*4,IF(AD85="annually",Table3[[#This Row],[Assessed Term]]*1,IF(AD85="weekly",Table3[[#This Row],[Assessed Term]]*52,IF(AD85="semiannually",Table3[[#This Row],[Assessed Term]]*2," ")))))</f>
        <v xml:space="preserve"> </v>
      </c>
      <c r="AG85" s="69"/>
      <c r="AH85" s="69"/>
      <c r="AI85" s="71"/>
      <c r="AJ85" s="71"/>
      <c r="AK85" s="71"/>
      <c r="AL85" s="69"/>
      <c r="AM85" s="69"/>
      <c r="AN85" s="119"/>
      <c r="AO85" s="76" t="b">
        <f>IF(K85 = "Lease",+PV(AN85/(AF85/Table3[[#This Row],[Assessed Term]]),AF85,-AI85,0,IF(AE85="Beginning",1,0)))</f>
        <v>0</v>
      </c>
      <c r="AP85" s="69"/>
      <c r="AQ85" s="76">
        <f t="shared" si="11"/>
        <v>0</v>
      </c>
      <c r="AR85" s="72"/>
    </row>
    <row r="86" spans="1:44">
      <c r="A86" s="69"/>
      <c r="B86" s="70"/>
      <c r="C86" s="69"/>
      <c r="D86" s="69"/>
      <c r="E86" s="69"/>
      <c r="F86" s="69"/>
      <c r="G86" s="69"/>
      <c r="H86" s="69"/>
      <c r="I86" s="69"/>
      <c r="J86" s="69"/>
      <c r="K86" t="str">
        <f t="shared" si="7"/>
        <v>Not a Lease</v>
      </c>
      <c r="L86" s="69"/>
      <c r="M86" s="69"/>
      <c r="N86" s="69"/>
      <c r="O86" s="69"/>
      <c r="P86" s="69"/>
      <c r="Q86" s="69"/>
      <c r="R86" s="69"/>
      <c r="S86" s="69"/>
      <c r="T86" s="69"/>
      <c r="U86" s="69"/>
      <c r="V86" s="69"/>
      <c r="W86" s="69"/>
      <c r="X86" s="69"/>
      <c r="Y86" s="69"/>
      <c r="Z86">
        <f t="shared" si="8"/>
        <v>0</v>
      </c>
      <c r="AA86">
        <f t="shared" si="9"/>
        <v>0</v>
      </c>
      <c r="AB86">
        <f t="shared" si="10"/>
        <v>0</v>
      </c>
      <c r="AC86">
        <f>+IF(Table3[[#This Row],[Do Both Parties have to agree for extension to occur?]]="Yes",0,IF(AND(W86="Yes",Q86="Yes"),IF(R86=X86,R86,MAX(R86,X86)),IF(AND(W86="Yes",OR(Q86="No",Q86="")),X86,IF(AND(OR(W86="No",W86=""),Q86="Yes"),R86,0))))</f>
        <v>0</v>
      </c>
      <c r="AD86" s="69"/>
      <c r="AE86" s="69"/>
      <c r="AF86" t="str">
        <f>IF(AD86="Monthly",Table3[[#This Row],[Assessed Term]]*12,IF(AD86="quarterly",Table3[[#This Row],[Assessed Term]]*4,IF(AD86="annually",Table3[[#This Row],[Assessed Term]]*1,IF(AD86="weekly",Table3[[#This Row],[Assessed Term]]*52,IF(AD86="semiannually",Table3[[#This Row],[Assessed Term]]*2," ")))))</f>
        <v xml:space="preserve"> </v>
      </c>
      <c r="AG86" s="69"/>
      <c r="AH86" s="69"/>
      <c r="AI86" s="71"/>
      <c r="AJ86" s="71"/>
      <c r="AK86" s="71"/>
      <c r="AL86" s="69"/>
      <c r="AM86" s="69"/>
      <c r="AN86" s="119"/>
      <c r="AO86" s="76" t="b">
        <f>IF(K86 = "Lease",+PV(AN86/(AF86/Table3[[#This Row],[Assessed Term]]),AF86,-AI86,0,IF(AE86="Beginning",1,0)))</f>
        <v>0</v>
      </c>
      <c r="AP86" s="69"/>
      <c r="AQ86" s="76">
        <f t="shared" si="11"/>
        <v>0</v>
      </c>
      <c r="AR86" s="72"/>
    </row>
    <row r="87" spans="1:44">
      <c r="A87" s="69"/>
      <c r="B87" s="70"/>
      <c r="C87" s="69"/>
      <c r="D87" s="69"/>
      <c r="E87" s="69"/>
      <c r="F87" s="69"/>
      <c r="G87" s="69"/>
      <c r="H87" s="69"/>
      <c r="I87" s="69"/>
      <c r="J87" s="69"/>
      <c r="K87" t="str">
        <f t="shared" si="7"/>
        <v>Not a Lease</v>
      </c>
      <c r="L87" s="69"/>
      <c r="M87" s="69"/>
      <c r="N87" s="69"/>
      <c r="O87" s="69"/>
      <c r="P87" s="69"/>
      <c r="Q87" s="69"/>
      <c r="R87" s="69"/>
      <c r="S87" s="69"/>
      <c r="T87" s="69"/>
      <c r="U87" s="69"/>
      <c r="V87" s="69"/>
      <c r="W87" s="69"/>
      <c r="X87" s="69"/>
      <c r="Y87" s="69"/>
      <c r="Z87">
        <f t="shared" si="8"/>
        <v>0</v>
      </c>
      <c r="AA87">
        <f t="shared" si="9"/>
        <v>0</v>
      </c>
      <c r="AB87">
        <f t="shared" si="10"/>
        <v>0</v>
      </c>
      <c r="AC87">
        <f>+IF(Table3[[#This Row],[Do Both Parties have to agree for extension to occur?]]="Yes",0,IF(AND(W87="Yes",Q87="Yes"),IF(R87=X87,R87,MAX(R87,X87)),IF(AND(W87="Yes",OR(Q87="No",Q87="")),X87,IF(AND(OR(W87="No",W87=""),Q87="Yes"),R87,0))))</f>
        <v>0</v>
      </c>
      <c r="AD87" s="69"/>
      <c r="AE87" s="69"/>
      <c r="AF87" t="str">
        <f>IF(AD87="Monthly",Table3[[#This Row],[Assessed Term]]*12,IF(AD87="quarterly",Table3[[#This Row],[Assessed Term]]*4,IF(AD87="annually",Table3[[#This Row],[Assessed Term]]*1,IF(AD87="weekly",Table3[[#This Row],[Assessed Term]]*52,IF(AD87="semiannually",Table3[[#This Row],[Assessed Term]]*2," ")))))</f>
        <v xml:space="preserve"> </v>
      </c>
      <c r="AG87" s="69"/>
      <c r="AH87" s="69"/>
      <c r="AI87" s="71"/>
      <c r="AJ87" s="71"/>
      <c r="AK87" s="71"/>
      <c r="AL87" s="69"/>
      <c r="AM87" s="69"/>
      <c r="AN87" s="119"/>
      <c r="AO87" s="76" t="b">
        <f>IF(K87 = "Lease",+PV(AN87/(AF87/Table3[[#This Row],[Assessed Term]]),AF87,-AI87,0,IF(AE87="Beginning",1,0)))</f>
        <v>0</v>
      </c>
      <c r="AP87" s="69"/>
      <c r="AQ87" s="76">
        <f t="shared" si="11"/>
        <v>0</v>
      </c>
      <c r="AR87" s="72"/>
    </row>
    <row r="88" spans="1:44">
      <c r="A88" s="69"/>
      <c r="B88" s="70"/>
      <c r="C88" s="69"/>
      <c r="D88" s="69"/>
      <c r="E88" s="69"/>
      <c r="F88" s="69"/>
      <c r="G88" s="69"/>
      <c r="H88" s="69"/>
      <c r="I88" s="69"/>
      <c r="J88" s="69"/>
      <c r="K88" t="str">
        <f t="shared" si="7"/>
        <v>Not a Lease</v>
      </c>
      <c r="L88" s="69"/>
      <c r="M88" s="69"/>
      <c r="N88" s="69"/>
      <c r="O88" s="69"/>
      <c r="P88" s="69"/>
      <c r="Q88" s="69"/>
      <c r="R88" s="69"/>
      <c r="S88" s="69"/>
      <c r="T88" s="69"/>
      <c r="U88" s="69"/>
      <c r="V88" s="69"/>
      <c r="W88" s="69"/>
      <c r="X88" s="69"/>
      <c r="Y88" s="69"/>
      <c r="Z88">
        <f t="shared" si="8"/>
        <v>0</v>
      </c>
      <c r="AA88">
        <f t="shared" si="9"/>
        <v>0</v>
      </c>
      <c r="AB88">
        <f t="shared" si="10"/>
        <v>0</v>
      </c>
      <c r="AC88">
        <f>+IF(Table3[[#This Row],[Do Both Parties have to agree for extension to occur?]]="Yes",0,IF(AND(W88="Yes",Q88="Yes"),IF(R88=X88,R88,MAX(R88,X88)),IF(AND(W88="Yes",OR(Q88="No",Q88="")),X88,IF(AND(OR(W88="No",W88=""),Q88="Yes"),R88,0))))</f>
        <v>0</v>
      </c>
      <c r="AD88" s="69"/>
      <c r="AE88" s="69"/>
      <c r="AF88" t="str">
        <f>IF(AD88="Monthly",Table3[[#This Row],[Assessed Term]]*12,IF(AD88="quarterly",Table3[[#This Row],[Assessed Term]]*4,IF(AD88="annually",Table3[[#This Row],[Assessed Term]]*1,IF(AD88="weekly",Table3[[#This Row],[Assessed Term]]*52,IF(AD88="semiannually",Table3[[#This Row],[Assessed Term]]*2," ")))))</f>
        <v xml:space="preserve"> </v>
      </c>
      <c r="AG88" s="69"/>
      <c r="AH88" s="69"/>
      <c r="AI88" s="71"/>
      <c r="AJ88" s="71"/>
      <c r="AK88" s="71"/>
      <c r="AL88" s="69"/>
      <c r="AM88" s="69"/>
      <c r="AN88" s="119"/>
      <c r="AO88" s="76" t="b">
        <f>IF(K88 = "Lease",+PV(AN88/(AF88/Table3[[#This Row],[Assessed Term]]),AF88,-AI88,0,IF(AE88="Beginning",1,0)))</f>
        <v>0</v>
      </c>
      <c r="AP88" s="69"/>
      <c r="AQ88" s="76">
        <f t="shared" si="11"/>
        <v>0</v>
      </c>
      <c r="AR88" s="72"/>
    </row>
    <row r="89" spans="1:44">
      <c r="A89" s="69"/>
      <c r="B89" s="70"/>
      <c r="C89" s="69"/>
      <c r="D89" s="69"/>
      <c r="E89" s="69"/>
      <c r="F89" s="69"/>
      <c r="G89" s="69"/>
      <c r="H89" s="69"/>
      <c r="I89" s="69"/>
      <c r="J89" s="69"/>
      <c r="K89" t="str">
        <f t="shared" si="7"/>
        <v>Not a Lease</v>
      </c>
      <c r="L89" s="69"/>
      <c r="M89" s="69"/>
      <c r="N89" s="69"/>
      <c r="O89" s="69"/>
      <c r="P89" s="69"/>
      <c r="Q89" s="69"/>
      <c r="R89" s="69"/>
      <c r="S89" s="69"/>
      <c r="T89" s="69"/>
      <c r="U89" s="69"/>
      <c r="V89" s="69"/>
      <c r="W89" s="69"/>
      <c r="X89" s="69"/>
      <c r="Y89" s="69"/>
      <c r="Z89">
        <f t="shared" si="8"/>
        <v>0</v>
      </c>
      <c r="AA89">
        <f t="shared" si="9"/>
        <v>0</v>
      </c>
      <c r="AB89">
        <f t="shared" si="10"/>
        <v>0</v>
      </c>
      <c r="AC89">
        <f>+IF(Table3[[#This Row],[Do Both Parties have to agree for extension to occur?]]="Yes",0,IF(AND(W89="Yes",Q89="Yes"),IF(R89=X89,R89,MAX(R89,X89)),IF(AND(W89="Yes",OR(Q89="No",Q89="")),X89,IF(AND(OR(W89="No",W89=""),Q89="Yes"),R89,0))))</f>
        <v>0</v>
      </c>
      <c r="AD89" s="69"/>
      <c r="AE89" s="69"/>
      <c r="AF89" t="str">
        <f>IF(AD89="Monthly",Table3[[#This Row],[Assessed Term]]*12,IF(AD89="quarterly",Table3[[#This Row],[Assessed Term]]*4,IF(AD89="annually",Table3[[#This Row],[Assessed Term]]*1,IF(AD89="weekly",Table3[[#This Row],[Assessed Term]]*52,IF(AD89="semiannually",Table3[[#This Row],[Assessed Term]]*2," ")))))</f>
        <v xml:space="preserve"> </v>
      </c>
      <c r="AG89" s="69"/>
      <c r="AH89" s="69"/>
      <c r="AI89" s="71"/>
      <c r="AJ89" s="71"/>
      <c r="AK89" s="71"/>
      <c r="AL89" s="69"/>
      <c r="AM89" s="69"/>
      <c r="AN89" s="119"/>
      <c r="AO89" s="76" t="b">
        <f>IF(K89 = "Lease",+PV(AN89/(AF89/Table3[[#This Row],[Assessed Term]]),AF89,-AI89,0,IF(AE89="Beginning",1,0)))</f>
        <v>0</v>
      </c>
      <c r="AP89" s="69"/>
      <c r="AQ89" s="76">
        <f t="shared" si="11"/>
        <v>0</v>
      </c>
      <c r="AR89" s="72"/>
    </row>
    <row r="90" spans="1:44">
      <c r="A90" s="69"/>
      <c r="B90" s="70"/>
      <c r="C90" s="69"/>
      <c r="D90" s="69"/>
      <c r="E90" s="69"/>
      <c r="F90" s="69"/>
      <c r="G90" s="69"/>
      <c r="H90" s="69"/>
      <c r="I90" s="69"/>
      <c r="J90" s="69"/>
      <c r="K90" t="str">
        <f t="shared" si="7"/>
        <v>Not a Lease</v>
      </c>
      <c r="L90" s="69"/>
      <c r="M90" s="69"/>
      <c r="N90" s="69"/>
      <c r="O90" s="69"/>
      <c r="P90" s="69"/>
      <c r="Q90" s="69"/>
      <c r="R90" s="69"/>
      <c r="S90" s="69"/>
      <c r="T90" s="69"/>
      <c r="U90" s="69"/>
      <c r="V90" s="69"/>
      <c r="W90" s="69"/>
      <c r="X90" s="69"/>
      <c r="Y90" s="69"/>
      <c r="Z90">
        <f t="shared" si="8"/>
        <v>0</v>
      </c>
      <c r="AA90">
        <f t="shared" si="9"/>
        <v>0</v>
      </c>
      <c r="AB90">
        <f t="shared" si="10"/>
        <v>0</v>
      </c>
      <c r="AC90">
        <f>+IF(Table3[[#This Row],[Do Both Parties have to agree for extension to occur?]]="Yes",0,IF(AND(W90="Yes",Q90="Yes"),IF(R90=X90,R90,MAX(R90,X90)),IF(AND(W90="Yes",OR(Q90="No",Q90="")),X90,IF(AND(OR(W90="No",W90=""),Q90="Yes"),R90,0))))</f>
        <v>0</v>
      </c>
      <c r="AD90" s="69"/>
      <c r="AE90" s="69"/>
      <c r="AF90" t="str">
        <f>IF(AD90="Monthly",Table3[[#This Row],[Assessed Term]]*12,IF(AD90="quarterly",Table3[[#This Row],[Assessed Term]]*4,IF(AD90="annually",Table3[[#This Row],[Assessed Term]]*1,IF(AD90="weekly",Table3[[#This Row],[Assessed Term]]*52,IF(AD90="semiannually",Table3[[#This Row],[Assessed Term]]*2," ")))))</f>
        <v xml:space="preserve"> </v>
      </c>
      <c r="AG90" s="69"/>
      <c r="AH90" s="69"/>
      <c r="AI90" s="71"/>
      <c r="AJ90" s="71"/>
      <c r="AK90" s="71"/>
      <c r="AL90" s="69"/>
      <c r="AM90" s="69"/>
      <c r="AN90" s="119"/>
      <c r="AO90" s="76" t="b">
        <f>IF(K90 = "Lease",+PV(AN90/(AF90/Table3[[#This Row],[Assessed Term]]),AF90,-AI90,0,IF(AE90="Beginning",1,0)))</f>
        <v>0</v>
      </c>
      <c r="AP90" s="69"/>
      <c r="AQ90" s="76">
        <f t="shared" si="11"/>
        <v>0</v>
      </c>
      <c r="AR90" s="72"/>
    </row>
    <row r="91" spans="1:44">
      <c r="A91" s="69"/>
      <c r="B91" s="70"/>
      <c r="C91" s="69"/>
      <c r="D91" s="69"/>
      <c r="E91" s="69"/>
      <c r="F91" s="69"/>
      <c r="G91" s="69"/>
      <c r="H91" s="69"/>
      <c r="I91" s="69"/>
      <c r="J91" s="69"/>
      <c r="K91" t="str">
        <f t="shared" si="7"/>
        <v>Not a Lease</v>
      </c>
      <c r="L91" s="69"/>
      <c r="M91" s="69"/>
      <c r="N91" s="69"/>
      <c r="O91" s="69"/>
      <c r="P91" s="69"/>
      <c r="Q91" s="69"/>
      <c r="R91" s="69"/>
      <c r="S91" s="69"/>
      <c r="T91" s="69"/>
      <c r="U91" s="69"/>
      <c r="V91" s="69"/>
      <c r="W91" s="69"/>
      <c r="X91" s="69"/>
      <c r="Y91" s="69"/>
      <c r="Z91">
        <f t="shared" si="8"/>
        <v>0</v>
      </c>
      <c r="AA91">
        <f t="shared" si="9"/>
        <v>0</v>
      </c>
      <c r="AB91">
        <f t="shared" si="10"/>
        <v>0</v>
      </c>
      <c r="AC91">
        <f>+IF(Table3[[#This Row],[Do Both Parties have to agree for extension to occur?]]="Yes",0,IF(AND(W91="Yes",Q91="Yes"),IF(R91=X91,R91,MAX(R91,X91)),IF(AND(W91="Yes",OR(Q91="No",Q91="")),X91,IF(AND(OR(W91="No",W91=""),Q91="Yes"),R91,0))))</f>
        <v>0</v>
      </c>
      <c r="AD91" s="69"/>
      <c r="AE91" s="69"/>
      <c r="AF91" t="str">
        <f>IF(AD91="Monthly",Table3[[#This Row],[Assessed Term]]*12,IF(AD91="quarterly",Table3[[#This Row],[Assessed Term]]*4,IF(AD91="annually",Table3[[#This Row],[Assessed Term]]*1,IF(AD91="weekly",Table3[[#This Row],[Assessed Term]]*52,IF(AD91="semiannually",Table3[[#This Row],[Assessed Term]]*2," ")))))</f>
        <v xml:space="preserve"> </v>
      </c>
      <c r="AG91" s="69"/>
      <c r="AH91" s="69"/>
      <c r="AI91" s="71"/>
      <c r="AJ91" s="71"/>
      <c r="AK91" s="71"/>
      <c r="AL91" s="69"/>
      <c r="AM91" s="69"/>
      <c r="AN91" s="119"/>
      <c r="AO91" s="76" t="b">
        <f>IF(K91 = "Lease",+PV(AN91/(AF91/Table3[[#This Row],[Assessed Term]]),AF91,-AI91,0,IF(AE91="Beginning",1,0)))</f>
        <v>0</v>
      </c>
      <c r="AP91" s="69"/>
      <c r="AQ91" s="76">
        <f t="shared" si="11"/>
        <v>0</v>
      </c>
      <c r="AR91" s="72"/>
    </row>
    <row r="92" spans="1:44">
      <c r="A92" s="69"/>
      <c r="B92" s="70"/>
      <c r="C92" s="69"/>
      <c r="D92" s="69"/>
      <c r="E92" s="69"/>
      <c r="F92" s="69"/>
      <c r="G92" s="69"/>
      <c r="H92" s="69"/>
      <c r="I92" s="69"/>
      <c r="J92" s="69"/>
      <c r="K92" t="str">
        <f t="shared" si="7"/>
        <v>Not a Lease</v>
      </c>
      <c r="L92" s="69"/>
      <c r="M92" s="69"/>
      <c r="N92" s="69"/>
      <c r="O92" s="69"/>
      <c r="P92" s="69"/>
      <c r="Q92" s="69"/>
      <c r="R92" s="69"/>
      <c r="S92" s="69"/>
      <c r="T92" s="69"/>
      <c r="U92" s="69"/>
      <c r="V92" s="69"/>
      <c r="W92" s="69"/>
      <c r="X92" s="69"/>
      <c r="Y92" s="69"/>
      <c r="Z92">
        <f t="shared" si="8"/>
        <v>0</v>
      </c>
      <c r="AA92">
        <f t="shared" si="9"/>
        <v>0</v>
      </c>
      <c r="AB92">
        <f t="shared" si="10"/>
        <v>0</v>
      </c>
      <c r="AC92">
        <f>+IF(Table3[[#This Row],[Do Both Parties have to agree for extension to occur?]]="Yes",0,IF(AND(W92="Yes",Q92="Yes"),IF(R92=X92,R92,MAX(R92,X92)),IF(AND(W92="Yes",OR(Q92="No",Q92="")),X92,IF(AND(OR(W92="No",W92=""),Q92="Yes"),R92,0))))</f>
        <v>0</v>
      </c>
      <c r="AD92" s="69"/>
      <c r="AE92" s="69"/>
      <c r="AF92" t="str">
        <f>IF(AD92="Monthly",Table3[[#This Row],[Assessed Term]]*12,IF(AD92="quarterly",Table3[[#This Row],[Assessed Term]]*4,IF(AD92="annually",Table3[[#This Row],[Assessed Term]]*1,IF(AD92="weekly",Table3[[#This Row],[Assessed Term]]*52,IF(AD92="semiannually",Table3[[#This Row],[Assessed Term]]*2," ")))))</f>
        <v xml:space="preserve"> </v>
      </c>
      <c r="AG92" s="69"/>
      <c r="AH92" s="69"/>
      <c r="AI92" s="71"/>
      <c r="AJ92" s="71"/>
      <c r="AK92" s="71"/>
      <c r="AL92" s="69"/>
      <c r="AM92" s="69"/>
      <c r="AN92" s="119"/>
      <c r="AO92" s="76" t="b">
        <f>IF(K92 = "Lease",+PV(AN92/(AF92/Table3[[#This Row],[Assessed Term]]),AF92,-AI92,0,IF(AE92="Beginning",1,0)))</f>
        <v>0</v>
      </c>
      <c r="AP92" s="69"/>
      <c r="AQ92" s="76">
        <f t="shared" si="11"/>
        <v>0</v>
      </c>
      <c r="AR92" s="72"/>
    </row>
    <row r="93" spans="1:44">
      <c r="A93" s="69"/>
      <c r="B93" s="70"/>
      <c r="C93" s="69"/>
      <c r="D93" s="69"/>
      <c r="E93" s="69"/>
      <c r="F93" s="69"/>
      <c r="G93" s="69"/>
      <c r="H93" s="69"/>
      <c r="I93" s="69"/>
      <c r="J93" s="69"/>
      <c r="K93" t="str">
        <f t="shared" si="7"/>
        <v>Not a Lease</v>
      </c>
      <c r="L93" s="69"/>
      <c r="M93" s="69"/>
      <c r="N93" s="69"/>
      <c r="O93" s="69"/>
      <c r="P93" s="69"/>
      <c r="Q93" s="69"/>
      <c r="R93" s="69"/>
      <c r="S93" s="69"/>
      <c r="T93" s="69"/>
      <c r="U93" s="69"/>
      <c r="V93" s="69"/>
      <c r="W93" s="69"/>
      <c r="X93" s="69"/>
      <c r="Y93" s="69"/>
      <c r="Z93">
        <f t="shared" si="8"/>
        <v>0</v>
      </c>
      <c r="AA93">
        <f t="shared" si="9"/>
        <v>0</v>
      </c>
      <c r="AB93">
        <f t="shared" si="10"/>
        <v>0</v>
      </c>
      <c r="AC93">
        <f>+IF(Table3[[#This Row],[Do Both Parties have to agree for extension to occur?]]="Yes",0,IF(AND(W93="Yes",Q93="Yes"),IF(R93=X93,R93,MAX(R93,X93)),IF(AND(W93="Yes",OR(Q93="No",Q93="")),X93,IF(AND(OR(W93="No",W93=""),Q93="Yes"),R93,0))))</f>
        <v>0</v>
      </c>
      <c r="AD93" s="69"/>
      <c r="AE93" s="69"/>
      <c r="AF93" t="str">
        <f>IF(AD93="Monthly",Table3[[#This Row],[Assessed Term]]*12,IF(AD93="quarterly",Table3[[#This Row],[Assessed Term]]*4,IF(AD93="annually",Table3[[#This Row],[Assessed Term]]*1,IF(AD93="weekly",Table3[[#This Row],[Assessed Term]]*52,IF(AD93="semiannually",Table3[[#This Row],[Assessed Term]]*2," ")))))</f>
        <v xml:space="preserve"> </v>
      </c>
      <c r="AG93" s="69"/>
      <c r="AH93" s="69"/>
      <c r="AI93" s="71"/>
      <c r="AJ93" s="71"/>
      <c r="AK93" s="71"/>
      <c r="AL93" s="69"/>
      <c r="AM93" s="69"/>
      <c r="AN93" s="119"/>
      <c r="AO93" s="76" t="b">
        <f>IF(K93 = "Lease",+PV(AN93/(AF93/Table3[[#This Row],[Assessed Term]]),AF93,-AI93,0,IF(AE93="Beginning",1,0)))</f>
        <v>0</v>
      </c>
      <c r="AP93" s="69"/>
      <c r="AQ93" s="76">
        <f t="shared" si="11"/>
        <v>0</v>
      </c>
      <c r="AR93" s="72"/>
    </row>
    <row r="94" spans="1:44">
      <c r="A94" s="69"/>
      <c r="B94" s="70"/>
      <c r="C94" s="69"/>
      <c r="D94" s="69"/>
      <c r="E94" s="69"/>
      <c r="F94" s="69"/>
      <c r="G94" s="69"/>
      <c r="H94" s="69"/>
      <c r="I94" s="69"/>
      <c r="J94" s="69"/>
      <c r="K94" t="str">
        <f t="shared" si="7"/>
        <v>Not a Lease</v>
      </c>
      <c r="L94" s="69"/>
      <c r="M94" s="69"/>
      <c r="N94" s="69"/>
      <c r="O94" s="69"/>
      <c r="P94" s="69"/>
      <c r="Q94" s="69"/>
      <c r="R94" s="69"/>
      <c r="S94" s="69"/>
      <c r="T94" s="69"/>
      <c r="U94" s="69"/>
      <c r="V94" s="69"/>
      <c r="W94" s="69"/>
      <c r="X94" s="69"/>
      <c r="Y94" s="69"/>
      <c r="Z94">
        <f t="shared" si="8"/>
        <v>0</v>
      </c>
      <c r="AA94">
        <f t="shared" si="9"/>
        <v>0</v>
      </c>
      <c r="AB94">
        <f t="shared" si="10"/>
        <v>0</v>
      </c>
      <c r="AC94">
        <f>+IF(Table3[[#This Row],[Do Both Parties have to agree for extension to occur?]]="Yes",0,IF(AND(W94="Yes",Q94="Yes"),IF(R94=X94,R94,MAX(R94,X94)),IF(AND(W94="Yes",OR(Q94="No",Q94="")),X94,IF(AND(OR(W94="No",W94=""),Q94="Yes"),R94,0))))</f>
        <v>0</v>
      </c>
      <c r="AD94" s="69"/>
      <c r="AE94" s="69"/>
      <c r="AF94" t="str">
        <f>IF(AD94="Monthly",Table3[[#This Row],[Assessed Term]]*12,IF(AD94="quarterly",Table3[[#This Row],[Assessed Term]]*4,IF(AD94="annually",Table3[[#This Row],[Assessed Term]]*1,IF(AD94="weekly",Table3[[#This Row],[Assessed Term]]*52,IF(AD94="semiannually",Table3[[#This Row],[Assessed Term]]*2," ")))))</f>
        <v xml:space="preserve"> </v>
      </c>
      <c r="AG94" s="69"/>
      <c r="AH94" s="69"/>
      <c r="AI94" s="71"/>
      <c r="AJ94" s="71"/>
      <c r="AK94" s="71"/>
      <c r="AL94" s="69"/>
      <c r="AM94" s="69"/>
      <c r="AN94" s="119"/>
      <c r="AO94" s="76" t="b">
        <f>IF(K94 = "Lease",+PV(AN94/(AF94/Table3[[#This Row],[Assessed Term]]),AF94,-AI94,0,IF(AE94="Beginning",1,0)))</f>
        <v>0</v>
      </c>
      <c r="AP94" s="69"/>
      <c r="AQ94" s="76">
        <f t="shared" si="11"/>
        <v>0</v>
      </c>
      <c r="AR94" s="72"/>
    </row>
    <row r="95" spans="1:44">
      <c r="A95" s="69"/>
      <c r="B95" s="70"/>
      <c r="C95" s="69"/>
      <c r="D95" s="69"/>
      <c r="E95" s="69"/>
      <c r="F95" s="69"/>
      <c r="G95" s="69"/>
      <c r="H95" s="69"/>
      <c r="I95" s="69"/>
      <c r="J95" s="69"/>
      <c r="K95" t="str">
        <f t="shared" si="7"/>
        <v>Not a Lease</v>
      </c>
      <c r="L95" s="69"/>
      <c r="M95" s="69"/>
      <c r="N95" s="69"/>
      <c r="O95" s="69"/>
      <c r="P95" s="69"/>
      <c r="Q95" s="69"/>
      <c r="R95" s="69"/>
      <c r="S95" s="69"/>
      <c r="T95" s="69"/>
      <c r="U95" s="69"/>
      <c r="V95" s="69"/>
      <c r="W95" s="69"/>
      <c r="X95" s="69"/>
      <c r="Y95" s="69"/>
      <c r="Z95">
        <f t="shared" si="8"/>
        <v>0</v>
      </c>
      <c r="AA95">
        <f t="shared" si="9"/>
        <v>0</v>
      </c>
      <c r="AB95">
        <f t="shared" si="10"/>
        <v>0</v>
      </c>
      <c r="AC95">
        <f>+IF(Table3[[#This Row],[Do Both Parties have to agree for extension to occur?]]="Yes",0,IF(AND(W95="Yes",Q95="Yes"),IF(R95=X95,R95,MAX(R95,X95)),IF(AND(W95="Yes",OR(Q95="No",Q95="")),X95,IF(AND(OR(W95="No",W95=""),Q95="Yes"),R95,0))))</f>
        <v>0</v>
      </c>
      <c r="AD95" s="69"/>
      <c r="AE95" s="69"/>
      <c r="AF95" t="str">
        <f>IF(AD95="Monthly",Table3[[#This Row],[Assessed Term]]*12,IF(AD95="quarterly",Table3[[#This Row],[Assessed Term]]*4,IF(AD95="annually",Table3[[#This Row],[Assessed Term]]*1,IF(AD95="weekly",Table3[[#This Row],[Assessed Term]]*52,IF(AD95="semiannually",Table3[[#This Row],[Assessed Term]]*2," ")))))</f>
        <v xml:space="preserve"> </v>
      </c>
      <c r="AG95" s="69"/>
      <c r="AH95" s="69"/>
      <c r="AI95" s="71"/>
      <c r="AJ95" s="71"/>
      <c r="AK95" s="71"/>
      <c r="AL95" s="69"/>
      <c r="AM95" s="69"/>
      <c r="AN95" s="119"/>
      <c r="AO95" s="76" t="b">
        <f>IF(K95 = "Lease",+PV(AN95/(AF95/Table3[[#This Row],[Assessed Term]]),AF95,-AI95,0,IF(AE95="Beginning",1,0)))</f>
        <v>0</v>
      </c>
      <c r="AP95" s="69"/>
      <c r="AQ95" s="76">
        <f t="shared" si="11"/>
        <v>0</v>
      </c>
      <c r="AR95" s="72"/>
    </row>
    <row r="96" spans="1:44">
      <c r="A96" s="69"/>
      <c r="B96" s="70"/>
      <c r="C96" s="69"/>
      <c r="D96" s="69"/>
      <c r="E96" s="69"/>
      <c r="F96" s="69"/>
      <c r="G96" s="69"/>
      <c r="H96" s="69"/>
      <c r="I96" s="69"/>
      <c r="J96" s="69"/>
      <c r="K96" t="str">
        <f t="shared" si="7"/>
        <v>Not a Lease</v>
      </c>
      <c r="L96" s="69"/>
      <c r="M96" s="69"/>
      <c r="N96" s="69"/>
      <c r="O96" s="69"/>
      <c r="P96" s="69"/>
      <c r="Q96" s="69"/>
      <c r="R96" s="69"/>
      <c r="S96" s="69"/>
      <c r="T96" s="69"/>
      <c r="U96" s="69"/>
      <c r="V96" s="69"/>
      <c r="W96" s="69"/>
      <c r="X96" s="69"/>
      <c r="Y96" s="69"/>
      <c r="Z96">
        <f t="shared" si="8"/>
        <v>0</v>
      </c>
      <c r="AA96">
        <f t="shared" si="9"/>
        <v>0</v>
      </c>
      <c r="AB96">
        <f t="shared" si="10"/>
        <v>0</v>
      </c>
      <c r="AC96">
        <f>+IF(Table3[[#This Row],[Do Both Parties have to agree for extension to occur?]]="Yes",0,IF(AND(W96="Yes",Q96="Yes"),IF(R96=X96,R96,MAX(R96,X96)),IF(AND(W96="Yes",OR(Q96="No",Q96="")),X96,IF(AND(OR(W96="No",W96=""),Q96="Yes"),R96,0))))</f>
        <v>0</v>
      </c>
      <c r="AD96" s="69"/>
      <c r="AE96" s="69"/>
      <c r="AF96" t="str">
        <f>IF(AD96="Monthly",Table3[[#This Row],[Assessed Term]]*12,IF(AD96="quarterly",Table3[[#This Row],[Assessed Term]]*4,IF(AD96="annually",Table3[[#This Row],[Assessed Term]]*1,IF(AD96="weekly",Table3[[#This Row],[Assessed Term]]*52,IF(AD96="semiannually",Table3[[#This Row],[Assessed Term]]*2," ")))))</f>
        <v xml:space="preserve"> </v>
      </c>
      <c r="AG96" s="69"/>
      <c r="AH96" s="69"/>
      <c r="AI96" s="71"/>
      <c r="AJ96" s="71"/>
      <c r="AK96" s="71"/>
      <c r="AL96" s="69"/>
      <c r="AM96" s="69"/>
      <c r="AN96" s="119"/>
      <c r="AO96" s="76" t="b">
        <f>IF(K96 = "Lease",+PV(AN96/(AF96/Table3[[#This Row],[Assessed Term]]),AF96,-AI96,0,IF(AE96="Beginning",1,0)))</f>
        <v>0</v>
      </c>
      <c r="AP96" s="69"/>
      <c r="AQ96" s="76">
        <f t="shared" si="11"/>
        <v>0</v>
      </c>
      <c r="AR96" s="72"/>
    </row>
    <row r="97" spans="1:44">
      <c r="A97" s="69"/>
      <c r="B97" s="70"/>
      <c r="C97" s="69"/>
      <c r="D97" s="69"/>
      <c r="E97" s="69"/>
      <c r="F97" s="69"/>
      <c r="G97" s="69"/>
      <c r="H97" s="69"/>
      <c r="I97" s="69"/>
      <c r="J97" s="69"/>
      <c r="K97" t="str">
        <f t="shared" si="7"/>
        <v>Not a Lease</v>
      </c>
      <c r="L97" s="69"/>
      <c r="M97" s="69"/>
      <c r="N97" s="69"/>
      <c r="O97" s="69"/>
      <c r="P97" s="69"/>
      <c r="Q97" s="69"/>
      <c r="R97" s="69"/>
      <c r="S97" s="69"/>
      <c r="T97" s="69"/>
      <c r="U97" s="69"/>
      <c r="V97" s="69"/>
      <c r="W97" s="69"/>
      <c r="X97" s="69"/>
      <c r="Y97" s="69"/>
      <c r="Z97">
        <f t="shared" si="8"/>
        <v>0</v>
      </c>
      <c r="AA97">
        <f t="shared" si="9"/>
        <v>0</v>
      </c>
      <c r="AB97">
        <f t="shared" si="10"/>
        <v>0</v>
      </c>
      <c r="AC97">
        <f>+IF(Table3[[#This Row],[Do Both Parties have to agree for extension to occur?]]="Yes",0,IF(AND(W97="Yes",Q97="Yes"),IF(R97=X97,R97,MAX(R97,X97)),IF(AND(W97="Yes",OR(Q97="No",Q97="")),X97,IF(AND(OR(W97="No",W97=""),Q97="Yes"),R97,0))))</f>
        <v>0</v>
      </c>
      <c r="AD97" s="69"/>
      <c r="AE97" s="69"/>
      <c r="AF97" t="str">
        <f>IF(AD97="Monthly",Table3[[#This Row],[Assessed Term]]*12,IF(AD97="quarterly",Table3[[#This Row],[Assessed Term]]*4,IF(AD97="annually",Table3[[#This Row],[Assessed Term]]*1,IF(AD97="weekly",Table3[[#This Row],[Assessed Term]]*52,IF(AD97="semiannually",Table3[[#This Row],[Assessed Term]]*2," ")))))</f>
        <v xml:space="preserve"> </v>
      </c>
      <c r="AG97" s="69"/>
      <c r="AH97" s="69"/>
      <c r="AI97" s="71"/>
      <c r="AJ97" s="71"/>
      <c r="AK97" s="71"/>
      <c r="AL97" s="69"/>
      <c r="AM97" s="69"/>
      <c r="AN97" s="119"/>
      <c r="AO97" s="76" t="b">
        <f>IF(K97 = "Lease",+PV(AN97/(AF97/Table3[[#This Row],[Assessed Term]]),AF97,-AI97,0,IF(AE97="Beginning",1,0)))</f>
        <v>0</v>
      </c>
      <c r="AP97" s="69"/>
      <c r="AQ97" s="76">
        <f t="shared" si="11"/>
        <v>0</v>
      </c>
      <c r="AR97" s="72"/>
    </row>
    <row r="98" spans="1:44">
      <c r="A98" s="69"/>
      <c r="B98" s="70"/>
      <c r="C98" s="69"/>
      <c r="D98" s="69"/>
      <c r="E98" s="69"/>
      <c r="F98" s="69"/>
      <c r="G98" s="69"/>
      <c r="H98" s="69"/>
      <c r="I98" s="69"/>
      <c r="J98" s="69"/>
      <c r="K98" t="str">
        <f t="shared" si="7"/>
        <v>Not a Lease</v>
      </c>
      <c r="L98" s="69"/>
      <c r="M98" s="69"/>
      <c r="N98" s="69"/>
      <c r="O98" s="69"/>
      <c r="P98" s="69"/>
      <c r="Q98" s="69"/>
      <c r="R98" s="69"/>
      <c r="S98" s="69"/>
      <c r="T98" s="69"/>
      <c r="U98" s="69"/>
      <c r="V98" s="69"/>
      <c r="W98" s="69"/>
      <c r="X98" s="69"/>
      <c r="Y98" s="69"/>
      <c r="Z98">
        <f t="shared" si="8"/>
        <v>0</v>
      </c>
      <c r="AA98">
        <f t="shared" si="9"/>
        <v>0</v>
      </c>
      <c r="AB98">
        <f t="shared" si="10"/>
        <v>0</v>
      </c>
      <c r="AC98">
        <f>+IF(Table3[[#This Row],[Do Both Parties have to agree for extension to occur?]]="Yes",0,IF(AND(W98="Yes",Q98="Yes"),IF(R98=X98,R98,MAX(R98,X98)),IF(AND(W98="Yes",OR(Q98="No",Q98="")),X98,IF(AND(OR(W98="No",W98=""),Q98="Yes"),R98,0))))</f>
        <v>0</v>
      </c>
      <c r="AD98" s="69"/>
      <c r="AE98" s="69"/>
      <c r="AF98" t="str">
        <f>IF(AD98="Monthly",Table3[[#This Row],[Assessed Term]]*12,IF(AD98="quarterly",Table3[[#This Row],[Assessed Term]]*4,IF(AD98="annually",Table3[[#This Row],[Assessed Term]]*1,IF(AD98="weekly",Table3[[#This Row],[Assessed Term]]*52,IF(AD98="semiannually",Table3[[#This Row],[Assessed Term]]*2," ")))))</f>
        <v xml:space="preserve"> </v>
      </c>
      <c r="AG98" s="69"/>
      <c r="AH98" s="69"/>
      <c r="AI98" s="71"/>
      <c r="AJ98" s="71"/>
      <c r="AK98" s="71"/>
      <c r="AL98" s="69"/>
      <c r="AM98" s="69"/>
      <c r="AN98" s="119"/>
      <c r="AO98" s="76" t="b">
        <f>IF(K98 = "Lease",+PV(AN98/(AF98/Table3[[#This Row],[Assessed Term]]),AF98,-AI98,0,IF(AE98="Beginning",1,0)))</f>
        <v>0</v>
      </c>
      <c r="AP98" s="69"/>
      <c r="AQ98" s="76">
        <f t="shared" si="11"/>
        <v>0</v>
      </c>
      <c r="AR98" s="72"/>
    </row>
    <row r="99" spans="1:44">
      <c r="A99" s="69"/>
      <c r="B99" s="70"/>
      <c r="C99" s="69"/>
      <c r="D99" s="69"/>
      <c r="E99" s="69"/>
      <c r="F99" s="69"/>
      <c r="G99" s="69"/>
      <c r="H99" s="69"/>
      <c r="I99" s="69"/>
      <c r="J99" s="69"/>
      <c r="K99" t="str">
        <f t="shared" si="7"/>
        <v>Not a Lease</v>
      </c>
      <c r="L99" s="69"/>
      <c r="M99" s="69"/>
      <c r="N99" s="69"/>
      <c r="O99" s="69"/>
      <c r="P99" s="69"/>
      <c r="Q99" s="69"/>
      <c r="R99" s="69"/>
      <c r="S99" s="69"/>
      <c r="T99" s="69"/>
      <c r="U99" s="69"/>
      <c r="V99" s="69"/>
      <c r="W99" s="69"/>
      <c r="X99" s="69"/>
      <c r="Y99" s="69"/>
      <c r="Z99">
        <f t="shared" si="8"/>
        <v>0</v>
      </c>
      <c r="AA99">
        <f t="shared" si="9"/>
        <v>0</v>
      </c>
      <c r="AB99">
        <f t="shared" si="10"/>
        <v>0</v>
      </c>
      <c r="AC99">
        <f>+IF(Table3[[#This Row],[Do Both Parties have to agree for extension to occur?]]="Yes",0,IF(AND(W99="Yes",Q99="Yes"),IF(R99=X99,R99,MAX(R99,X99)),IF(AND(W99="Yes",OR(Q99="No",Q99="")),X99,IF(AND(OR(W99="No",W99=""),Q99="Yes"),R99,0))))</f>
        <v>0</v>
      </c>
      <c r="AD99" s="69"/>
      <c r="AE99" s="69"/>
      <c r="AF99" t="str">
        <f>IF(AD99="Monthly",Table3[[#This Row],[Assessed Term]]*12,IF(AD99="quarterly",Table3[[#This Row],[Assessed Term]]*4,IF(AD99="annually",Table3[[#This Row],[Assessed Term]]*1,IF(AD99="weekly",Table3[[#This Row],[Assessed Term]]*52,IF(AD99="semiannually",Table3[[#This Row],[Assessed Term]]*2," ")))))</f>
        <v xml:space="preserve"> </v>
      </c>
      <c r="AG99" s="69"/>
      <c r="AH99" s="69"/>
      <c r="AI99" s="71"/>
      <c r="AJ99" s="71"/>
      <c r="AK99" s="71"/>
      <c r="AL99" s="69"/>
      <c r="AM99" s="69"/>
      <c r="AN99" s="119"/>
      <c r="AO99" s="76" t="b">
        <f>IF(K99 = "Lease",+PV(AN99/(AF99/Table3[[#This Row],[Assessed Term]]),AF99,-AI99,0,IF(AE99="Beginning",1,0)))</f>
        <v>0</v>
      </c>
      <c r="AP99" s="69"/>
      <c r="AQ99" s="76">
        <f t="shared" si="11"/>
        <v>0</v>
      </c>
      <c r="AR99" s="72"/>
    </row>
    <row r="100" spans="1:44">
      <c r="A100" s="69"/>
      <c r="B100" s="70"/>
      <c r="C100" s="69"/>
      <c r="D100" s="69"/>
      <c r="E100" s="69"/>
      <c r="F100" s="69"/>
      <c r="G100" s="69"/>
      <c r="H100" s="69"/>
      <c r="I100" s="69"/>
      <c r="J100" s="69"/>
      <c r="K100" t="str">
        <f t="shared" si="7"/>
        <v>Not a Lease</v>
      </c>
      <c r="L100" s="69"/>
      <c r="M100" s="69"/>
      <c r="N100" s="69"/>
      <c r="O100" s="69"/>
      <c r="P100" s="69"/>
      <c r="Q100" s="69"/>
      <c r="R100" s="69"/>
      <c r="S100" s="69"/>
      <c r="T100" s="69"/>
      <c r="U100" s="69"/>
      <c r="V100" s="69"/>
      <c r="W100" s="69"/>
      <c r="X100" s="69"/>
      <c r="Y100" s="69"/>
      <c r="Z100">
        <f t="shared" ref="Z100:Z111" si="12">+IF(AB100=0,AA100+AC100,AB100)</f>
        <v>0</v>
      </c>
      <c r="AA100">
        <f t="shared" si="9"/>
        <v>0</v>
      </c>
      <c r="AB100">
        <f t="shared" si="10"/>
        <v>0</v>
      </c>
      <c r="AC100">
        <f>+IF(Table3[[#This Row],[Do Both Parties have to agree for extension to occur?]]="Yes",0,IF(AND(W100="Yes",Q100="Yes"),IF(R100=X100,R100,MAX(R100,X100)),IF(AND(W100="Yes",OR(Q100="No",Q100="")),X100,IF(AND(OR(W100="No",W100=""),Q100="Yes"),R100,0))))</f>
        <v>0</v>
      </c>
      <c r="AD100" s="69"/>
      <c r="AE100" s="69"/>
      <c r="AF100" t="str">
        <f>IF(AD100="Monthly",Table3[[#This Row],[Assessed Term]]*12,IF(AD100="quarterly",Table3[[#This Row],[Assessed Term]]*4,IF(AD100="annually",Table3[[#This Row],[Assessed Term]]*1,IF(AD100="weekly",Table3[[#This Row],[Assessed Term]]*52,IF(AD100="semiannually",Table3[[#This Row],[Assessed Term]]*2," ")))))</f>
        <v xml:space="preserve"> </v>
      </c>
      <c r="AG100" s="69"/>
      <c r="AH100" s="69"/>
      <c r="AI100" s="71"/>
      <c r="AJ100" s="71"/>
      <c r="AK100" s="71"/>
      <c r="AL100" s="69"/>
      <c r="AM100" s="69"/>
      <c r="AN100" s="119"/>
      <c r="AO100" s="76" t="b">
        <f>IF(K100 = "Lease",+PV(AN100/(AF100/Table3[[#This Row],[Assessed Term]]),AF100,-AI100,0,IF(AE100="Beginning",1,0)))</f>
        <v>0</v>
      </c>
      <c r="AP100" s="69"/>
      <c r="AQ100" s="76">
        <f t="shared" ref="AQ100:AQ111" si="13">+IF(AP100 = "no",AO100,0)</f>
        <v>0</v>
      </c>
      <c r="AR100" s="72"/>
    </row>
    <row r="101" spans="1:44">
      <c r="A101" s="69"/>
      <c r="B101" s="70"/>
      <c r="C101" s="69"/>
      <c r="D101" s="69"/>
      <c r="E101" s="69"/>
      <c r="F101" s="69"/>
      <c r="G101" s="69"/>
      <c r="H101" s="69"/>
      <c r="I101" s="69"/>
      <c r="J101" s="69"/>
      <c r="K101" t="str">
        <f t="shared" si="7"/>
        <v>Not a Lease</v>
      </c>
      <c r="L101" s="69"/>
      <c r="M101" s="69"/>
      <c r="N101" s="69"/>
      <c r="O101" s="69"/>
      <c r="P101" s="69"/>
      <c r="Q101" s="69"/>
      <c r="R101" s="69"/>
      <c r="S101" s="69"/>
      <c r="T101" s="69"/>
      <c r="U101" s="69"/>
      <c r="V101" s="69"/>
      <c r="W101" s="69"/>
      <c r="X101" s="69"/>
      <c r="Y101" s="69"/>
      <c r="Z101">
        <f t="shared" si="12"/>
        <v>0</v>
      </c>
      <c r="AA101">
        <f t="shared" si="9"/>
        <v>0</v>
      </c>
      <c r="AB101">
        <f t="shared" si="10"/>
        <v>0</v>
      </c>
      <c r="AC101">
        <f>+IF(Table3[[#This Row],[Do Both Parties have to agree for extension to occur?]]="Yes",0,IF(AND(W101="Yes",Q101="Yes"),IF(R101=X101,R101,MAX(R101,X101)),IF(AND(W101="Yes",OR(Q101="No",Q101="")),X101,IF(AND(OR(W101="No",W101=""),Q101="Yes"),R101,0))))</f>
        <v>0</v>
      </c>
      <c r="AD101" s="69"/>
      <c r="AE101" s="69"/>
      <c r="AF101" t="str">
        <f>IF(AD101="Monthly",Table3[[#This Row],[Assessed Term]]*12,IF(AD101="quarterly",Table3[[#This Row],[Assessed Term]]*4,IF(AD101="annually",Table3[[#This Row],[Assessed Term]]*1,IF(AD101="weekly",Table3[[#This Row],[Assessed Term]]*52,IF(AD101="semiannually",Table3[[#This Row],[Assessed Term]]*2," ")))))</f>
        <v xml:space="preserve"> </v>
      </c>
      <c r="AG101" s="69"/>
      <c r="AH101" s="69"/>
      <c r="AI101" s="71"/>
      <c r="AJ101" s="71"/>
      <c r="AK101" s="71"/>
      <c r="AL101" s="69"/>
      <c r="AM101" s="69"/>
      <c r="AN101" s="119"/>
      <c r="AO101" s="76" t="b">
        <f>IF(K101 = "Lease",+PV(AN101/(AF101/Table3[[#This Row],[Assessed Term]]),AF101,-AI101,0,IF(AE101="Beginning",1,0)))</f>
        <v>0</v>
      </c>
      <c r="AP101" s="69"/>
      <c r="AQ101" s="76">
        <f t="shared" si="13"/>
        <v>0</v>
      </c>
      <c r="AR101" s="72"/>
    </row>
    <row r="102" spans="1:44">
      <c r="A102" s="69"/>
      <c r="B102" s="70"/>
      <c r="C102" s="69"/>
      <c r="D102" s="69"/>
      <c r="E102" s="69"/>
      <c r="F102" s="69"/>
      <c r="G102" s="69"/>
      <c r="H102" s="69"/>
      <c r="I102" s="69"/>
      <c r="J102" s="69"/>
      <c r="K102" t="str">
        <f t="shared" si="7"/>
        <v>Not a Lease</v>
      </c>
      <c r="L102" s="69"/>
      <c r="M102" s="69"/>
      <c r="N102" s="69"/>
      <c r="O102" s="69"/>
      <c r="P102" s="69"/>
      <c r="Q102" s="69"/>
      <c r="R102" s="69"/>
      <c r="S102" s="69"/>
      <c r="T102" s="69"/>
      <c r="U102" s="69"/>
      <c r="V102" s="69"/>
      <c r="W102" s="69"/>
      <c r="X102" s="69"/>
      <c r="Y102" s="69"/>
      <c r="Z102">
        <f t="shared" si="12"/>
        <v>0</v>
      </c>
      <c r="AA102">
        <f t="shared" si="9"/>
        <v>0</v>
      </c>
      <c r="AB102">
        <f t="shared" si="10"/>
        <v>0</v>
      </c>
      <c r="AC102">
        <f>+IF(Table3[[#This Row],[Do Both Parties have to agree for extension to occur?]]="Yes",0,IF(AND(W102="Yes",Q102="Yes"),IF(R102=X102,R102,MAX(R102,X102)),IF(AND(W102="Yes",OR(Q102="No",Q102="")),X102,IF(AND(OR(W102="No",W102=""),Q102="Yes"),R102,0))))</f>
        <v>0</v>
      </c>
      <c r="AD102" s="69"/>
      <c r="AE102" s="69"/>
      <c r="AF102" t="str">
        <f>IF(AD102="Monthly",Table3[[#This Row],[Assessed Term]]*12,IF(AD102="quarterly",Table3[[#This Row],[Assessed Term]]*4,IF(AD102="annually",Table3[[#This Row],[Assessed Term]]*1,IF(AD102="weekly",Table3[[#This Row],[Assessed Term]]*52,IF(AD102="semiannually",Table3[[#This Row],[Assessed Term]]*2," ")))))</f>
        <v xml:space="preserve"> </v>
      </c>
      <c r="AG102" s="69"/>
      <c r="AH102" s="69"/>
      <c r="AI102" s="71"/>
      <c r="AJ102" s="71"/>
      <c r="AK102" s="71"/>
      <c r="AL102" s="69"/>
      <c r="AM102" s="69"/>
      <c r="AN102" s="119"/>
      <c r="AO102" s="76" t="b">
        <f>IF(K102 = "Lease",+PV(AN102/(AF102/Table3[[#This Row],[Assessed Term]]),AF102,-AI102,0,IF(AE102="Beginning",1,0)))</f>
        <v>0</v>
      </c>
      <c r="AP102" s="69"/>
      <c r="AQ102" s="76">
        <f t="shared" si="13"/>
        <v>0</v>
      </c>
      <c r="AR102" s="72"/>
    </row>
    <row r="103" spans="1:44">
      <c r="A103" s="69"/>
      <c r="B103" s="70"/>
      <c r="C103" s="69"/>
      <c r="D103" s="69"/>
      <c r="E103" s="69"/>
      <c r="F103" s="69"/>
      <c r="G103" s="69"/>
      <c r="H103" s="69"/>
      <c r="I103" s="69"/>
      <c r="J103" s="69"/>
      <c r="K103" t="str">
        <f t="shared" si="7"/>
        <v>Not a Lease</v>
      </c>
      <c r="L103" s="69"/>
      <c r="M103" s="69"/>
      <c r="N103" s="69"/>
      <c r="O103" s="69"/>
      <c r="P103" s="69"/>
      <c r="Q103" s="69"/>
      <c r="R103" s="69"/>
      <c r="S103" s="69"/>
      <c r="T103" s="69"/>
      <c r="U103" s="69"/>
      <c r="V103" s="69"/>
      <c r="W103" s="69"/>
      <c r="X103" s="69"/>
      <c r="Y103" s="69"/>
      <c r="Z103">
        <f t="shared" si="12"/>
        <v>0</v>
      </c>
      <c r="AA103">
        <f t="shared" si="9"/>
        <v>0</v>
      </c>
      <c r="AB103">
        <f t="shared" si="10"/>
        <v>0</v>
      </c>
      <c r="AC103">
        <f>+IF(Table3[[#This Row],[Do Both Parties have to agree for extension to occur?]]="Yes",0,IF(AND(W103="Yes",Q103="Yes"),IF(R103=X103,R103,MAX(R103,X103)),IF(AND(W103="Yes",OR(Q103="No",Q103="")),X103,IF(AND(OR(W103="No",W103=""),Q103="Yes"),R103,0))))</f>
        <v>0</v>
      </c>
      <c r="AD103" s="69"/>
      <c r="AE103" s="69"/>
      <c r="AF103" t="str">
        <f>IF(AD103="Monthly",Table3[[#This Row],[Assessed Term]]*12,IF(AD103="quarterly",Table3[[#This Row],[Assessed Term]]*4,IF(AD103="annually",Table3[[#This Row],[Assessed Term]]*1,IF(AD103="weekly",Table3[[#This Row],[Assessed Term]]*52,IF(AD103="semiannually",Table3[[#This Row],[Assessed Term]]*2," ")))))</f>
        <v xml:space="preserve"> </v>
      </c>
      <c r="AG103" s="69"/>
      <c r="AH103" s="69"/>
      <c r="AI103" s="71"/>
      <c r="AJ103" s="71"/>
      <c r="AK103" s="71"/>
      <c r="AL103" s="69"/>
      <c r="AM103" s="69"/>
      <c r="AN103" s="119"/>
      <c r="AO103" s="76" t="b">
        <f>IF(K103 = "Lease",+PV(AN103/(AF103/Table3[[#This Row],[Assessed Term]]),AF103,-AI103,0,IF(AE103="Beginning",1,0)))</f>
        <v>0</v>
      </c>
      <c r="AP103" s="69"/>
      <c r="AQ103" s="76">
        <f t="shared" si="13"/>
        <v>0</v>
      </c>
      <c r="AR103" s="72"/>
    </row>
    <row r="104" spans="1:44">
      <c r="A104" s="69"/>
      <c r="B104" s="70"/>
      <c r="C104" s="69"/>
      <c r="D104" s="69"/>
      <c r="E104" s="69"/>
      <c r="F104" s="69"/>
      <c r="G104" s="69"/>
      <c r="H104" s="69"/>
      <c r="I104" s="69"/>
      <c r="J104" s="69"/>
      <c r="K104" t="str">
        <f t="shared" si="7"/>
        <v>Not a Lease</v>
      </c>
      <c r="L104" s="69"/>
      <c r="M104" s="69"/>
      <c r="N104" s="69"/>
      <c r="O104" s="69"/>
      <c r="P104" s="69"/>
      <c r="Q104" s="69"/>
      <c r="R104" s="69"/>
      <c r="S104" s="69"/>
      <c r="T104" s="69"/>
      <c r="U104" s="69"/>
      <c r="V104" s="69"/>
      <c r="W104" s="69"/>
      <c r="X104" s="69"/>
      <c r="Y104" s="69"/>
      <c r="Z104">
        <f t="shared" si="12"/>
        <v>0</v>
      </c>
      <c r="AA104">
        <f t="shared" si="9"/>
        <v>0</v>
      </c>
      <c r="AB104">
        <f t="shared" si="10"/>
        <v>0</v>
      </c>
      <c r="AC104">
        <f>+IF(Table3[[#This Row],[Do Both Parties have to agree for extension to occur?]]="Yes",0,IF(AND(W104="Yes",Q104="Yes"),IF(R104=X104,R104,MAX(R104,X104)),IF(AND(W104="Yes",OR(Q104="No",Q104="")),X104,IF(AND(OR(W104="No",W104=""),Q104="Yes"),R104,0))))</f>
        <v>0</v>
      </c>
      <c r="AD104" s="69"/>
      <c r="AE104" s="69"/>
      <c r="AF104" t="str">
        <f>IF(AD104="Monthly",Table3[[#This Row],[Assessed Term]]*12,IF(AD104="quarterly",Table3[[#This Row],[Assessed Term]]*4,IF(AD104="annually",Table3[[#This Row],[Assessed Term]]*1,IF(AD104="weekly",Table3[[#This Row],[Assessed Term]]*52,IF(AD104="semiannually",Table3[[#This Row],[Assessed Term]]*2," ")))))</f>
        <v xml:space="preserve"> </v>
      </c>
      <c r="AG104" s="69"/>
      <c r="AH104" s="69"/>
      <c r="AI104" s="71"/>
      <c r="AJ104" s="71"/>
      <c r="AK104" s="71"/>
      <c r="AL104" s="69"/>
      <c r="AM104" s="69"/>
      <c r="AN104" s="119"/>
      <c r="AO104" s="76" t="b">
        <f>IF(K104 = "Lease",+PV(AN104/(AF104/Table3[[#This Row],[Assessed Term]]),AF104,-AI104,0,IF(AE104="Beginning",1,0)))</f>
        <v>0</v>
      </c>
      <c r="AP104" s="69"/>
      <c r="AQ104" s="76">
        <f t="shared" si="13"/>
        <v>0</v>
      </c>
      <c r="AR104" s="72"/>
    </row>
    <row r="105" spans="1:44">
      <c r="A105" s="69"/>
      <c r="B105" s="70"/>
      <c r="C105" s="69"/>
      <c r="D105" s="69"/>
      <c r="E105" s="69"/>
      <c r="F105" s="69"/>
      <c r="G105" s="69"/>
      <c r="H105" s="69"/>
      <c r="I105" s="69"/>
      <c r="J105" s="69"/>
      <c r="K105" t="str">
        <f t="shared" si="7"/>
        <v>Not a Lease</v>
      </c>
      <c r="L105" s="69"/>
      <c r="M105" s="69"/>
      <c r="N105" s="69"/>
      <c r="O105" s="69"/>
      <c r="P105" s="69"/>
      <c r="Q105" s="69"/>
      <c r="R105" s="69"/>
      <c r="S105" s="69"/>
      <c r="T105" s="69"/>
      <c r="U105" s="69"/>
      <c r="V105" s="69"/>
      <c r="W105" s="69"/>
      <c r="X105" s="69"/>
      <c r="Y105" s="69"/>
      <c r="Z105">
        <f t="shared" si="12"/>
        <v>0</v>
      </c>
      <c r="AA105">
        <f t="shared" si="9"/>
        <v>0</v>
      </c>
      <c r="AB105">
        <f t="shared" si="10"/>
        <v>0</v>
      </c>
      <c r="AC105">
        <f>+IF(Table3[[#This Row],[Do Both Parties have to agree for extension to occur?]]="Yes",0,IF(AND(W105="Yes",Q105="Yes"),IF(R105=X105,R105,MAX(R105,X105)),IF(AND(W105="Yes",OR(Q105="No",Q105="")),X105,IF(AND(OR(W105="No",W105=""),Q105="Yes"),R105,0))))</f>
        <v>0</v>
      </c>
      <c r="AD105" s="69"/>
      <c r="AE105" s="69"/>
      <c r="AF105" t="str">
        <f>IF(AD105="Monthly",Table3[[#This Row],[Assessed Term]]*12,IF(AD105="quarterly",Table3[[#This Row],[Assessed Term]]*4,IF(AD105="annually",Table3[[#This Row],[Assessed Term]]*1,IF(AD105="weekly",Table3[[#This Row],[Assessed Term]]*52,IF(AD105="semiannually",Table3[[#This Row],[Assessed Term]]*2," ")))))</f>
        <v xml:space="preserve"> </v>
      </c>
      <c r="AG105" s="69"/>
      <c r="AH105" s="69"/>
      <c r="AI105" s="71"/>
      <c r="AJ105" s="71"/>
      <c r="AK105" s="71"/>
      <c r="AL105" s="69"/>
      <c r="AM105" s="69"/>
      <c r="AN105" s="119"/>
      <c r="AO105" s="76" t="b">
        <f>IF(K105 = "Lease",+PV(AN105/(AF105/Table3[[#This Row],[Assessed Term]]),AF105,-AI105,0,IF(AE105="Beginning",1,0)))</f>
        <v>0</v>
      </c>
      <c r="AP105" s="69"/>
      <c r="AQ105" s="76">
        <f t="shared" si="13"/>
        <v>0</v>
      </c>
      <c r="AR105" s="72"/>
    </row>
    <row r="106" spans="1:44">
      <c r="A106" s="69"/>
      <c r="B106" s="70"/>
      <c r="C106" s="69"/>
      <c r="D106" s="69"/>
      <c r="E106" s="69"/>
      <c r="F106" s="69"/>
      <c r="G106" s="69"/>
      <c r="H106" s="69"/>
      <c r="I106" s="69"/>
      <c r="J106" s="69"/>
      <c r="K106" t="str">
        <f t="shared" si="7"/>
        <v>Not a Lease</v>
      </c>
      <c r="L106" s="69"/>
      <c r="M106" s="69"/>
      <c r="N106" s="69"/>
      <c r="O106" s="69"/>
      <c r="P106" s="69"/>
      <c r="Q106" s="69"/>
      <c r="R106" s="69"/>
      <c r="S106" s="69"/>
      <c r="T106" s="69"/>
      <c r="U106" s="69"/>
      <c r="V106" s="69"/>
      <c r="W106" s="69"/>
      <c r="X106" s="69"/>
      <c r="Y106" s="69"/>
      <c r="Z106">
        <f t="shared" si="12"/>
        <v>0</v>
      </c>
      <c r="AA106">
        <f t="shared" si="9"/>
        <v>0</v>
      </c>
      <c r="AB106">
        <f t="shared" si="10"/>
        <v>0</v>
      </c>
      <c r="AC106">
        <f>+IF(Table3[[#This Row],[Do Both Parties have to agree for extension to occur?]]="Yes",0,IF(AND(W106="Yes",Q106="Yes"),IF(R106=X106,R106,MAX(R106,X106)),IF(AND(W106="Yes",OR(Q106="No",Q106="")),X106,IF(AND(OR(W106="No",W106=""),Q106="Yes"),R106,0))))</f>
        <v>0</v>
      </c>
      <c r="AD106" s="69"/>
      <c r="AE106" s="69"/>
      <c r="AF106" t="str">
        <f>IF(AD106="Monthly",Table3[[#This Row],[Assessed Term]]*12,IF(AD106="quarterly",Table3[[#This Row],[Assessed Term]]*4,IF(AD106="annually",Table3[[#This Row],[Assessed Term]]*1,IF(AD106="weekly",Table3[[#This Row],[Assessed Term]]*52,IF(AD106="semiannually",Table3[[#This Row],[Assessed Term]]*2," ")))))</f>
        <v xml:space="preserve"> </v>
      </c>
      <c r="AG106" s="69"/>
      <c r="AH106" s="69"/>
      <c r="AI106" s="71"/>
      <c r="AJ106" s="71"/>
      <c r="AK106" s="71"/>
      <c r="AL106" s="69"/>
      <c r="AM106" s="69"/>
      <c r="AN106" s="119"/>
      <c r="AO106" s="76" t="b">
        <f>IF(K106 = "Lease",+PV(AN106/(AF106/Table3[[#This Row],[Assessed Term]]),AF106,-AI106,0,IF(AE106="Beginning",1,0)))</f>
        <v>0</v>
      </c>
      <c r="AP106" s="69"/>
      <c r="AQ106" s="76">
        <f t="shared" si="13"/>
        <v>0</v>
      </c>
      <c r="AR106" s="72"/>
    </row>
    <row r="107" spans="1:44">
      <c r="A107" s="69"/>
      <c r="B107" s="70"/>
      <c r="C107" s="69"/>
      <c r="D107" s="69"/>
      <c r="E107" s="69"/>
      <c r="F107" s="69"/>
      <c r="G107" s="69"/>
      <c r="H107" s="69"/>
      <c r="I107" s="69"/>
      <c r="J107" s="69"/>
      <c r="K107" t="str">
        <f t="shared" si="7"/>
        <v>Not a Lease</v>
      </c>
      <c r="L107" s="69"/>
      <c r="M107" s="69"/>
      <c r="N107" s="69"/>
      <c r="O107" s="69"/>
      <c r="P107" s="69"/>
      <c r="Q107" s="69"/>
      <c r="R107" s="69"/>
      <c r="S107" s="69"/>
      <c r="T107" s="69"/>
      <c r="U107" s="69"/>
      <c r="V107" s="69"/>
      <c r="W107" s="69"/>
      <c r="X107" s="69"/>
      <c r="Y107" s="69"/>
      <c r="Z107">
        <f t="shared" si="12"/>
        <v>0</v>
      </c>
      <c r="AA107">
        <f t="shared" si="9"/>
        <v>0</v>
      </c>
      <c r="AB107">
        <f t="shared" si="10"/>
        <v>0</v>
      </c>
      <c r="AC107">
        <f>+IF(Table3[[#This Row],[Do Both Parties have to agree for extension to occur?]]="Yes",0,IF(AND(W107="Yes",Q107="Yes"),IF(R107=X107,R107,MAX(R107,X107)),IF(AND(W107="Yes",OR(Q107="No",Q107="")),X107,IF(AND(OR(W107="No",W107=""),Q107="Yes"),R107,0))))</f>
        <v>0</v>
      </c>
      <c r="AD107" s="69"/>
      <c r="AE107" s="69"/>
      <c r="AF107" t="str">
        <f>IF(AD107="Monthly",Table3[[#This Row],[Assessed Term]]*12,IF(AD107="quarterly",Table3[[#This Row],[Assessed Term]]*4,IF(AD107="annually",Table3[[#This Row],[Assessed Term]]*1,IF(AD107="weekly",Table3[[#This Row],[Assessed Term]]*52,IF(AD107="semiannually",Table3[[#This Row],[Assessed Term]]*2," ")))))</f>
        <v xml:space="preserve"> </v>
      </c>
      <c r="AG107" s="69"/>
      <c r="AH107" s="69"/>
      <c r="AI107" s="71"/>
      <c r="AJ107" s="71"/>
      <c r="AK107" s="71"/>
      <c r="AL107" s="69"/>
      <c r="AM107" s="69"/>
      <c r="AN107" s="119"/>
      <c r="AO107" s="76" t="b">
        <f>IF(K107 = "Lease",+PV(AN107/(AF107/Table3[[#This Row],[Assessed Term]]),AF107,-AI107,0,IF(AE107="Beginning",1,0)))</f>
        <v>0</v>
      </c>
      <c r="AP107" s="69"/>
      <c r="AQ107" s="76">
        <f t="shared" si="13"/>
        <v>0</v>
      </c>
      <c r="AR107" s="72"/>
    </row>
    <row r="108" spans="1:44">
      <c r="A108" s="69"/>
      <c r="B108" s="70"/>
      <c r="C108" s="69"/>
      <c r="D108" s="69"/>
      <c r="E108" s="69"/>
      <c r="F108" s="69"/>
      <c r="G108" s="69"/>
      <c r="H108" s="69"/>
      <c r="I108" s="69"/>
      <c r="J108" s="69"/>
      <c r="K108" t="str">
        <f t="shared" si="7"/>
        <v>Not a Lease</v>
      </c>
      <c r="L108" s="69"/>
      <c r="M108" s="69"/>
      <c r="N108" s="69"/>
      <c r="O108" s="69"/>
      <c r="P108" s="69"/>
      <c r="Q108" s="69"/>
      <c r="R108" s="69"/>
      <c r="S108" s="69"/>
      <c r="T108" s="69"/>
      <c r="U108" s="69"/>
      <c r="V108" s="69"/>
      <c r="W108" s="69"/>
      <c r="X108" s="69"/>
      <c r="Y108" s="69"/>
      <c r="Z108">
        <f t="shared" si="12"/>
        <v>0</v>
      </c>
      <c r="AA108">
        <f t="shared" si="9"/>
        <v>0</v>
      </c>
      <c r="AB108">
        <f t="shared" si="10"/>
        <v>0</v>
      </c>
      <c r="AC108">
        <f>+IF(Table3[[#This Row],[Do Both Parties have to agree for extension to occur?]]="Yes",0,IF(AND(W108="Yes",Q108="Yes"),IF(R108=X108,R108,MAX(R108,X108)),IF(AND(W108="Yes",OR(Q108="No",Q108="")),X108,IF(AND(OR(W108="No",W108=""),Q108="Yes"),R108,0))))</f>
        <v>0</v>
      </c>
      <c r="AD108" s="69"/>
      <c r="AE108" s="69"/>
      <c r="AF108" t="str">
        <f>IF(AD108="Monthly",Table3[[#This Row],[Assessed Term]]*12,IF(AD108="quarterly",Table3[[#This Row],[Assessed Term]]*4,IF(AD108="annually",Table3[[#This Row],[Assessed Term]]*1,IF(AD108="weekly",Table3[[#This Row],[Assessed Term]]*52,IF(AD108="semiannually",Table3[[#This Row],[Assessed Term]]*2," ")))))</f>
        <v xml:space="preserve"> </v>
      </c>
      <c r="AG108" s="69"/>
      <c r="AH108" s="69"/>
      <c r="AI108" s="71"/>
      <c r="AJ108" s="71"/>
      <c r="AK108" s="71"/>
      <c r="AL108" s="69"/>
      <c r="AM108" s="69"/>
      <c r="AN108" s="119"/>
      <c r="AO108" s="76" t="b">
        <f>IF(K108 = "Lease",+PV(AN108/(AF108/Table3[[#This Row],[Assessed Term]]),AF108,-AI108,0,IF(AE108="Beginning",1,0)))</f>
        <v>0</v>
      </c>
      <c r="AP108" s="69"/>
      <c r="AQ108" s="76">
        <f t="shared" si="13"/>
        <v>0</v>
      </c>
      <c r="AR108" s="72"/>
    </row>
    <row r="109" spans="1:44">
      <c r="A109" s="69"/>
      <c r="B109" s="70"/>
      <c r="C109" s="69"/>
      <c r="D109" s="69"/>
      <c r="E109" s="69"/>
      <c r="F109" s="69"/>
      <c r="G109" s="69"/>
      <c r="H109" s="69"/>
      <c r="I109" s="69"/>
      <c r="J109" s="69"/>
      <c r="K109" t="str">
        <f t="shared" si="7"/>
        <v>Not a Lease</v>
      </c>
      <c r="L109" s="69"/>
      <c r="M109" s="69"/>
      <c r="N109" s="69"/>
      <c r="O109" s="69"/>
      <c r="P109" s="69"/>
      <c r="Q109" s="69"/>
      <c r="R109" s="69"/>
      <c r="S109" s="69"/>
      <c r="T109" s="69"/>
      <c r="U109" s="69"/>
      <c r="V109" s="69"/>
      <c r="W109" s="69"/>
      <c r="X109" s="69"/>
      <c r="Y109" s="69"/>
      <c r="Z109">
        <f t="shared" si="12"/>
        <v>0</v>
      </c>
      <c r="AA109">
        <f t="shared" si="9"/>
        <v>0</v>
      </c>
      <c r="AB109">
        <f t="shared" si="10"/>
        <v>0</v>
      </c>
      <c r="AC109">
        <f>+IF(Table3[[#This Row],[Do Both Parties have to agree for extension to occur?]]="Yes",0,IF(AND(W109="Yes",Q109="Yes"),IF(R109=X109,R109,MAX(R109,X109)),IF(AND(W109="Yes",OR(Q109="No",Q109="")),X109,IF(AND(OR(W109="No",W109=""),Q109="Yes"),R109,0))))</f>
        <v>0</v>
      </c>
      <c r="AD109" s="69"/>
      <c r="AE109" s="69"/>
      <c r="AF109" t="str">
        <f>IF(AD109="Monthly",Table3[[#This Row],[Assessed Term]]*12,IF(AD109="quarterly",Table3[[#This Row],[Assessed Term]]*4,IF(AD109="annually",Table3[[#This Row],[Assessed Term]]*1,IF(AD109="weekly",Table3[[#This Row],[Assessed Term]]*52,IF(AD109="semiannually",Table3[[#This Row],[Assessed Term]]*2," ")))))</f>
        <v xml:space="preserve"> </v>
      </c>
      <c r="AG109" s="69"/>
      <c r="AH109" s="69"/>
      <c r="AI109" s="71"/>
      <c r="AJ109" s="71"/>
      <c r="AK109" s="71"/>
      <c r="AL109" s="69"/>
      <c r="AM109" s="69"/>
      <c r="AN109" s="119"/>
      <c r="AO109" s="76" t="b">
        <f>IF(K109 = "Lease",+PV(AN109/(AF109/Table3[[#This Row],[Assessed Term]]),AF109,-AI109,0,IF(AE109="Beginning",1,0)))</f>
        <v>0</v>
      </c>
      <c r="AP109" s="69"/>
      <c r="AQ109" s="76">
        <f t="shared" si="13"/>
        <v>0</v>
      </c>
      <c r="AR109" s="72"/>
    </row>
    <row r="110" spans="1:44">
      <c r="A110" s="69"/>
      <c r="B110" s="70"/>
      <c r="C110" s="69"/>
      <c r="D110" s="69"/>
      <c r="E110" s="69"/>
      <c r="F110" s="69"/>
      <c r="G110" s="69"/>
      <c r="H110" s="69"/>
      <c r="I110" s="69"/>
      <c r="J110" s="69"/>
      <c r="K110" t="str">
        <f t="shared" si="7"/>
        <v>Not a Lease</v>
      </c>
      <c r="L110" s="69"/>
      <c r="M110" s="69"/>
      <c r="N110" s="69"/>
      <c r="O110" s="69"/>
      <c r="P110" s="69"/>
      <c r="Q110" s="69"/>
      <c r="R110" s="69"/>
      <c r="S110" s="69"/>
      <c r="T110" s="69"/>
      <c r="U110" s="69"/>
      <c r="V110" s="69"/>
      <c r="W110" s="69"/>
      <c r="X110" s="69"/>
      <c r="Y110" s="69"/>
      <c r="Z110">
        <f t="shared" si="12"/>
        <v>0</v>
      </c>
      <c r="AA110">
        <f t="shared" si="9"/>
        <v>0</v>
      </c>
      <c r="AB110">
        <f t="shared" si="10"/>
        <v>0</v>
      </c>
      <c r="AC110">
        <f>+IF(Table3[[#This Row],[Do Both Parties have to agree for extension to occur?]]="Yes",0,IF(AND(W110="Yes",Q110="Yes"),IF(R110=X110,R110,MAX(R110,X110)),IF(AND(W110="Yes",OR(Q110="No",Q110="")),X110,IF(AND(OR(W110="No",W110=""),Q110="Yes"),R110,0))))</f>
        <v>0</v>
      </c>
      <c r="AD110" s="69"/>
      <c r="AE110" s="69"/>
      <c r="AF110" t="str">
        <f>IF(AD110="Monthly",Table3[[#This Row],[Assessed Term]]*12,IF(AD110="quarterly",Table3[[#This Row],[Assessed Term]]*4,IF(AD110="annually",Table3[[#This Row],[Assessed Term]]*1,IF(AD110="weekly",Table3[[#This Row],[Assessed Term]]*52,IF(AD110="semiannually",Table3[[#This Row],[Assessed Term]]*2," ")))))</f>
        <v xml:space="preserve"> </v>
      </c>
      <c r="AG110" s="69"/>
      <c r="AH110" s="69"/>
      <c r="AI110" s="71"/>
      <c r="AJ110" s="71"/>
      <c r="AK110" s="71"/>
      <c r="AL110" s="69"/>
      <c r="AM110" s="69"/>
      <c r="AN110" s="119"/>
      <c r="AO110" s="76" t="b">
        <f>IF(K110 = "Lease",+PV(AN110/(AF110/Table3[[#This Row],[Assessed Term]]),AF110,-AI110,0,IF(AE110="Beginning",1,0)))</f>
        <v>0</v>
      </c>
      <c r="AP110" s="69"/>
      <c r="AQ110" s="76">
        <f t="shared" si="13"/>
        <v>0</v>
      </c>
      <c r="AR110" s="72"/>
    </row>
    <row r="111" spans="1:44">
      <c r="A111" s="69"/>
      <c r="B111" s="70"/>
      <c r="C111" s="69"/>
      <c r="D111" s="69"/>
      <c r="E111" s="69"/>
      <c r="F111" s="69"/>
      <c r="G111" s="69"/>
      <c r="H111" s="69"/>
      <c r="I111" s="69"/>
      <c r="J111" s="69"/>
      <c r="K111" t="str">
        <f t="shared" si="7"/>
        <v>Not a Lease</v>
      </c>
      <c r="L111" s="69"/>
      <c r="M111" s="69"/>
      <c r="N111" s="69"/>
      <c r="O111" s="69"/>
      <c r="P111" s="69"/>
      <c r="Q111" s="69"/>
      <c r="R111" s="69"/>
      <c r="S111" s="69"/>
      <c r="T111" s="69"/>
      <c r="U111" s="69"/>
      <c r="V111" s="69"/>
      <c r="W111" s="69"/>
      <c r="X111" s="69"/>
      <c r="Y111" s="69"/>
      <c r="Z111">
        <f t="shared" si="12"/>
        <v>0</v>
      </c>
      <c r="AA111">
        <f t="shared" si="9"/>
        <v>0</v>
      </c>
      <c r="AB111">
        <f t="shared" si="10"/>
        <v>0</v>
      </c>
      <c r="AC111">
        <f>+IF(Table3[[#This Row],[Do Both Parties have to agree for extension to occur?]]="Yes",0,IF(AND(W111="Yes",Q111="Yes"),IF(R111=X111,R111,MAX(R111,X111)),IF(AND(W111="Yes",OR(Q111="No",Q111="")),X111,IF(AND(OR(W111="No",W111=""),Q111="Yes"),R111,0))))</f>
        <v>0</v>
      </c>
      <c r="AD111" s="69"/>
      <c r="AE111" s="69"/>
      <c r="AF111" t="str">
        <f>IF(AD111="Monthly",Table3[[#This Row],[Assessed Term]]*12,IF(AD111="quarterly",Table3[[#This Row],[Assessed Term]]*4,IF(AD111="annually",Table3[[#This Row],[Assessed Term]]*1,IF(AD111="weekly",Table3[[#This Row],[Assessed Term]]*52,IF(AD111="semiannually",Table3[[#This Row],[Assessed Term]]*2," ")))))</f>
        <v xml:space="preserve"> </v>
      </c>
      <c r="AG111" s="69"/>
      <c r="AH111" s="69"/>
      <c r="AI111" s="71"/>
      <c r="AJ111" s="71"/>
      <c r="AK111" s="71"/>
      <c r="AL111" s="69"/>
      <c r="AM111" s="69"/>
      <c r="AN111" s="119"/>
      <c r="AO111" s="76" t="b">
        <f>IF(K111 = "Lease",+PV(AN111/(AF111/Table3[[#This Row],[Assessed Term]]),AF111,-AI111,0,IF(AE111="Beginning",1,0)))</f>
        <v>0</v>
      </c>
      <c r="AP111" s="69"/>
      <c r="AQ111" s="76">
        <f t="shared" si="13"/>
        <v>0</v>
      </c>
      <c r="AR111" s="72"/>
    </row>
    <row r="112" spans="1:44">
      <c r="A112" s="69"/>
      <c r="B112" s="70"/>
      <c r="C112" s="69"/>
      <c r="D112" s="69"/>
      <c r="E112" s="69"/>
      <c r="F112" s="69"/>
      <c r="G112" s="69"/>
      <c r="H112" s="69"/>
      <c r="I112" s="69"/>
      <c r="J112" s="69"/>
      <c r="K112" t="str">
        <f t="shared" si="7"/>
        <v>Not a Lease</v>
      </c>
      <c r="L112" s="69"/>
      <c r="M112" s="69"/>
      <c r="N112" s="69"/>
      <c r="O112" s="69"/>
      <c r="P112" s="69"/>
      <c r="Q112" s="69"/>
      <c r="R112" s="69"/>
      <c r="S112" s="69"/>
      <c r="T112" s="69"/>
      <c r="U112" s="69"/>
      <c r="V112" s="69"/>
      <c r="W112" s="69"/>
      <c r="X112" s="69"/>
      <c r="Y112" s="69"/>
      <c r="Z112">
        <f t="shared" ref="Z112:Z143" si="14">+IF(AB112=0,AA112+AC112,AB112)</f>
        <v>0</v>
      </c>
      <c r="AA112">
        <f t="shared" si="9"/>
        <v>0</v>
      </c>
      <c r="AB112">
        <f t="shared" si="10"/>
        <v>0</v>
      </c>
      <c r="AC112">
        <f>+IF(Table3[[#This Row],[Do Both Parties have to agree for extension to occur?]]="Yes",0,IF(AND(W112="Yes",Q112="Yes"),IF(R112=X112,R112,MAX(R112,X112)),IF(AND(W112="Yes",OR(Q112="No",Q112="")),X112,IF(AND(OR(W112="No",W112=""),Q112="Yes"),R112,0))))</f>
        <v>0</v>
      </c>
      <c r="AD112" s="69"/>
      <c r="AE112" s="69"/>
      <c r="AF112" t="str">
        <f>IF(AD112="Monthly",Table3[[#This Row],[Assessed Term]]*12,IF(AD112="quarterly",Table3[[#This Row],[Assessed Term]]*4,IF(AD112="annually",Table3[[#This Row],[Assessed Term]]*1,IF(AD112="weekly",Table3[[#This Row],[Assessed Term]]*52,IF(AD112="semiannually",Table3[[#This Row],[Assessed Term]]*2," ")))))</f>
        <v xml:space="preserve"> </v>
      </c>
      <c r="AG112" s="69"/>
      <c r="AH112" s="69"/>
      <c r="AI112" s="73"/>
      <c r="AJ112" s="73"/>
      <c r="AK112" s="73"/>
      <c r="AL112" s="69"/>
      <c r="AM112" s="69"/>
      <c r="AN112" s="120"/>
      <c r="AO112" s="76" t="b">
        <f>IF(K112 = "Lease",+PV(AN112/(AF112/Table3[[#This Row],[Assessed Term]]),AF112,-AI112,0,IF(AE112="Beginning",1,0)))</f>
        <v>0</v>
      </c>
      <c r="AP112" s="69"/>
      <c r="AQ112" s="76">
        <f t="shared" ref="AQ112:AQ143" si="15">+IF(AP112 = "no",AO112,0)</f>
        <v>0</v>
      </c>
      <c r="AR112" s="72"/>
    </row>
    <row r="113" spans="1:44">
      <c r="A113" s="69"/>
      <c r="B113" s="70"/>
      <c r="C113" s="69"/>
      <c r="D113" s="69"/>
      <c r="E113" s="69"/>
      <c r="F113" s="69"/>
      <c r="G113" s="69"/>
      <c r="H113" s="69"/>
      <c r="I113" s="69"/>
      <c r="J113" s="69"/>
      <c r="K113" t="str">
        <f t="shared" si="7"/>
        <v>Not a Lease</v>
      </c>
      <c r="L113" s="69"/>
      <c r="M113" s="69"/>
      <c r="N113" s="69"/>
      <c r="O113" s="69"/>
      <c r="P113" s="69"/>
      <c r="Q113" s="69"/>
      <c r="R113" s="69"/>
      <c r="S113" s="69"/>
      <c r="T113" s="69"/>
      <c r="U113" s="69"/>
      <c r="V113" s="69"/>
      <c r="W113" s="69"/>
      <c r="X113" s="69"/>
      <c r="Y113" s="69"/>
      <c r="Z113">
        <f t="shared" si="14"/>
        <v>0</v>
      </c>
      <c r="AA113">
        <f t="shared" si="9"/>
        <v>0</v>
      </c>
      <c r="AB113">
        <f t="shared" si="10"/>
        <v>0</v>
      </c>
      <c r="AC113">
        <f>+IF(Table3[[#This Row],[Do Both Parties have to agree for extension to occur?]]="Yes",0,IF(AND(W113="Yes",Q113="Yes"),IF(R113=X113,R113,MAX(R113,X113)),IF(AND(W113="Yes",OR(Q113="No",Q113="")),X113,IF(AND(OR(W113="No",W113=""),Q113="Yes"),R113,0))))</f>
        <v>0</v>
      </c>
      <c r="AD113" s="69"/>
      <c r="AE113" s="69"/>
      <c r="AF113" t="str">
        <f>IF(AD113="Monthly",Table3[[#This Row],[Assessed Term]]*12,IF(AD113="quarterly",Table3[[#This Row],[Assessed Term]]*4,IF(AD113="annually",Table3[[#This Row],[Assessed Term]]*1,IF(AD113="weekly",Table3[[#This Row],[Assessed Term]]*52,IF(AD113="semiannually",Table3[[#This Row],[Assessed Term]]*2," ")))))</f>
        <v xml:space="preserve"> </v>
      </c>
      <c r="AG113" s="69"/>
      <c r="AH113" s="69"/>
      <c r="AI113" s="73"/>
      <c r="AJ113" s="73"/>
      <c r="AK113" s="73"/>
      <c r="AL113" s="69"/>
      <c r="AM113" s="69"/>
      <c r="AN113" s="120"/>
      <c r="AO113" s="76" t="b">
        <f>IF(K113 = "Lease",+PV(AN113/(AF113/Table3[[#This Row],[Assessed Term]]),AF113,-AI113,0,IF(AE113="Beginning",1,0)))</f>
        <v>0</v>
      </c>
      <c r="AP113" s="69"/>
      <c r="AQ113" s="76">
        <f t="shared" si="15"/>
        <v>0</v>
      </c>
      <c r="AR113" s="72"/>
    </row>
    <row r="114" spans="1:44">
      <c r="A114" s="69"/>
      <c r="B114" s="70"/>
      <c r="C114" s="69"/>
      <c r="D114" s="69"/>
      <c r="E114" s="69"/>
      <c r="F114" s="69"/>
      <c r="G114" s="69"/>
      <c r="H114" s="69"/>
      <c r="I114" s="69"/>
      <c r="J114" s="69"/>
      <c r="K114" t="str">
        <f t="shared" si="7"/>
        <v>Not a Lease</v>
      </c>
      <c r="L114" s="69"/>
      <c r="M114" s="69"/>
      <c r="N114" s="69"/>
      <c r="O114" s="69"/>
      <c r="P114" s="69"/>
      <c r="Q114" s="69"/>
      <c r="R114" s="69"/>
      <c r="S114" s="69"/>
      <c r="T114" s="69"/>
      <c r="U114" s="69"/>
      <c r="V114" s="69"/>
      <c r="W114" s="69"/>
      <c r="X114" s="69"/>
      <c r="Y114" s="69"/>
      <c r="Z114">
        <f t="shared" si="14"/>
        <v>0</v>
      </c>
      <c r="AA114">
        <f t="shared" si="9"/>
        <v>0</v>
      </c>
      <c r="AB114">
        <f t="shared" si="10"/>
        <v>0</v>
      </c>
      <c r="AC114">
        <f>+IF(Table3[[#This Row],[Do Both Parties have to agree for extension to occur?]]="Yes",0,IF(AND(W114="Yes",Q114="Yes"),IF(R114=X114,R114,MAX(R114,X114)),IF(AND(W114="Yes",OR(Q114="No",Q114="")),X114,IF(AND(OR(W114="No",W114=""),Q114="Yes"),R114,0))))</f>
        <v>0</v>
      </c>
      <c r="AD114" s="69"/>
      <c r="AE114" s="69"/>
      <c r="AF114" t="str">
        <f>IF(AD114="Monthly",Table3[[#This Row],[Assessed Term]]*12,IF(AD114="quarterly",Table3[[#This Row],[Assessed Term]]*4,IF(AD114="annually",Table3[[#This Row],[Assessed Term]]*1,IF(AD114="weekly",Table3[[#This Row],[Assessed Term]]*52,IF(AD114="semiannually",Table3[[#This Row],[Assessed Term]]*2," ")))))</f>
        <v xml:space="preserve"> </v>
      </c>
      <c r="AG114" s="69"/>
      <c r="AH114" s="69"/>
      <c r="AI114" s="73"/>
      <c r="AJ114" s="73"/>
      <c r="AK114" s="73"/>
      <c r="AL114" s="69"/>
      <c r="AM114" s="69"/>
      <c r="AN114" s="120"/>
      <c r="AO114" s="76" t="b">
        <f>IF(K114 = "Lease",+PV(AN114/(AF114/Table3[[#This Row],[Assessed Term]]),AF114,-AI114,0,IF(AE114="Beginning",1,0)))</f>
        <v>0</v>
      </c>
      <c r="AP114" s="69"/>
      <c r="AQ114" s="76">
        <f t="shared" si="15"/>
        <v>0</v>
      </c>
      <c r="AR114" s="72"/>
    </row>
    <row r="115" spans="1:44">
      <c r="A115" s="69"/>
      <c r="B115" s="70"/>
      <c r="C115" s="69"/>
      <c r="D115" s="69"/>
      <c r="E115" s="69"/>
      <c r="F115" s="69"/>
      <c r="G115" s="69"/>
      <c r="H115" s="69"/>
      <c r="I115" s="69"/>
      <c r="J115" s="69"/>
      <c r="K115" t="str">
        <f t="shared" si="7"/>
        <v>Not a Lease</v>
      </c>
      <c r="L115" s="69"/>
      <c r="M115" s="69"/>
      <c r="N115" s="69"/>
      <c r="O115" s="69"/>
      <c r="P115" s="69"/>
      <c r="Q115" s="69"/>
      <c r="R115" s="69"/>
      <c r="S115" s="69"/>
      <c r="T115" s="69"/>
      <c r="U115" s="69"/>
      <c r="V115" s="69"/>
      <c r="W115" s="69"/>
      <c r="X115" s="69"/>
      <c r="Y115" s="69"/>
      <c r="Z115">
        <f t="shared" si="14"/>
        <v>0</v>
      </c>
      <c r="AA115">
        <f t="shared" si="9"/>
        <v>0</v>
      </c>
      <c r="AB115">
        <f t="shared" si="10"/>
        <v>0</v>
      </c>
      <c r="AC115">
        <f>+IF(Table3[[#This Row],[Do Both Parties have to agree for extension to occur?]]="Yes",0,IF(AND(W115="Yes",Q115="Yes"),IF(R115=X115,R115,MAX(R115,X115)),IF(AND(W115="Yes",OR(Q115="No",Q115="")),X115,IF(AND(OR(W115="No",W115=""),Q115="Yes"),R115,0))))</f>
        <v>0</v>
      </c>
      <c r="AD115" s="69"/>
      <c r="AE115" s="69"/>
      <c r="AF115" t="str">
        <f>IF(AD115="Monthly",Table3[[#This Row],[Assessed Term]]*12,IF(AD115="quarterly",Table3[[#This Row],[Assessed Term]]*4,IF(AD115="annually",Table3[[#This Row],[Assessed Term]]*1,IF(AD115="weekly",Table3[[#This Row],[Assessed Term]]*52,IF(AD115="semiannually",Table3[[#This Row],[Assessed Term]]*2," ")))))</f>
        <v xml:space="preserve"> </v>
      </c>
      <c r="AG115" s="69"/>
      <c r="AH115" s="69"/>
      <c r="AI115" s="73"/>
      <c r="AJ115" s="73"/>
      <c r="AK115" s="73"/>
      <c r="AL115" s="69"/>
      <c r="AM115" s="69"/>
      <c r="AN115" s="120"/>
      <c r="AO115" s="76" t="b">
        <f>IF(K115 = "Lease",+PV(AN115/(AF115/Table3[[#This Row],[Assessed Term]]),AF115,-AI115,0,IF(AE115="Beginning",1,0)))</f>
        <v>0</v>
      </c>
      <c r="AP115" s="69"/>
      <c r="AQ115" s="76">
        <f t="shared" si="15"/>
        <v>0</v>
      </c>
      <c r="AR115" s="72"/>
    </row>
    <row r="116" spans="1:44">
      <c r="A116" s="69"/>
      <c r="B116" s="70"/>
      <c r="C116" s="69"/>
      <c r="D116" s="69"/>
      <c r="E116" s="69"/>
      <c r="F116" s="69"/>
      <c r="G116" s="69"/>
      <c r="H116" s="69"/>
      <c r="I116" s="69"/>
      <c r="J116" s="69"/>
      <c r="K116" t="str">
        <f t="shared" si="7"/>
        <v>Not a Lease</v>
      </c>
      <c r="L116" s="69"/>
      <c r="M116" s="69"/>
      <c r="N116" s="69"/>
      <c r="O116" s="69"/>
      <c r="P116" s="69"/>
      <c r="Q116" s="69"/>
      <c r="R116" s="69"/>
      <c r="S116" s="69"/>
      <c r="T116" s="69"/>
      <c r="U116" s="69"/>
      <c r="V116" s="69"/>
      <c r="W116" s="69"/>
      <c r="X116" s="69"/>
      <c r="Y116" s="69"/>
      <c r="Z116">
        <f t="shared" si="14"/>
        <v>0</v>
      </c>
      <c r="AA116">
        <f t="shared" si="9"/>
        <v>0</v>
      </c>
      <c r="AB116">
        <f t="shared" si="10"/>
        <v>0</v>
      </c>
      <c r="AC116">
        <f>+IF(Table3[[#This Row],[Do Both Parties have to agree for extension to occur?]]="Yes",0,IF(AND(W116="Yes",Q116="Yes"),IF(R116=X116,R116,MAX(R116,X116)),IF(AND(W116="Yes",OR(Q116="No",Q116="")),X116,IF(AND(OR(W116="No",W116=""),Q116="Yes"),R116,0))))</f>
        <v>0</v>
      </c>
      <c r="AD116" s="69"/>
      <c r="AE116" s="69"/>
      <c r="AF116" t="str">
        <f>IF(AD116="Monthly",Table3[[#This Row],[Assessed Term]]*12,IF(AD116="quarterly",Table3[[#This Row],[Assessed Term]]*4,IF(AD116="annually",Table3[[#This Row],[Assessed Term]]*1,IF(AD116="weekly",Table3[[#This Row],[Assessed Term]]*52,IF(AD116="semiannually",Table3[[#This Row],[Assessed Term]]*2," ")))))</f>
        <v xml:space="preserve"> </v>
      </c>
      <c r="AG116" s="69"/>
      <c r="AH116" s="69"/>
      <c r="AI116" s="73"/>
      <c r="AJ116" s="73"/>
      <c r="AK116" s="73"/>
      <c r="AL116" s="69"/>
      <c r="AM116" s="69"/>
      <c r="AN116" s="120"/>
      <c r="AO116" s="76" t="b">
        <f>IF(K116 = "Lease",+PV(AN116/(AF116/Table3[[#This Row],[Assessed Term]]),AF116,-AI116,0,IF(AE116="Beginning",1,0)))</f>
        <v>0</v>
      </c>
      <c r="AP116" s="69"/>
      <c r="AQ116" s="76">
        <f t="shared" si="15"/>
        <v>0</v>
      </c>
      <c r="AR116" s="72"/>
    </row>
    <row r="117" spans="1:44">
      <c r="A117" s="69"/>
      <c r="B117" s="70"/>
      <c r="C117" s="69"/>
      <c r="D117" s="69"/>
      <c r="E117" s="69"/>
      <c r="F117" s="69"/>
      <c r="G117" s="69"/>
      <c r="H117" s="69"/>
      <c r="I117" s="69"/>
      <c r="J117" s="69"/>
      <c r="K117" t="str">
        <f t="shared" si="7"/>
        <v>Not a Lease</v>
      </c>
      <c r="L117" s="69"/>
      <c r="M117" s="69"/>
      <c r="N117" s="69"/>
      <c r="O117" s="69"/>
      <c r="P117" s="69"/>
      <c r="Q117" s="69"/>
      <c r="R117" s="69"/>
      <c r="S117" s="69"/>
      <c r="T117" s="69"/>
      <c r="U117" s="69"/>
      <c r="V117" s="69"/>
      <c r="W117" s="69"/>
      <c r="X117" s="69"/>
      <c r="Y117" s="69"/>
      <c r="Z117">
        <f t="shared" si="14"/>
        <v>0</v>
      </c>
      <c r="AA117">
        <f t="shared" si="9"/>
        <v>0</v>
      </c>
      <c r="AB117">
        <f t="shared" si="10"/>
        <v>0</v>
      </c>
      <c r="AC117">
        <f>+IF(Table3[[#This Row],[Do Both Parties have to agree for extension to occur?]]="Yes",0,IF(AND(W117="Yes",Q117="Yes"),IF(R117=X117,R117,MAX(R117,X117)),IF(AND(W117="Yes",OR(Q117="No",Q117="")),X117,IF(AND(OR(W117="No",W117=""),Q117="Yes"),R117,0))))</f>
        <v>0</v>
      </c>
      <c r="AD117" s="69"/>
      <c r="AE117" s="69"/>
      <c r="AF117" t="str">
        <f>IF(AD117="Monthly",Table3[[#This Row],[Assessed Term]]*12,IF(AD117="quarterly",Table3[[#This Row],[Assessed Term]]*4,IF(AD117="annually",Table3[[#This Row],[Assessed Term]]*1,IF(AD117="weekly",Table3[[#This Row],[Assessed Term]]*52,IF(AD117="semiannually",Table3[[#This Row],[Assessed Term]]*2," ")))))</f>
        <v xml:space="preserve"> </v>
      </c>
      <c r="AG117" s="69"/>
      <c r="AH117" s="69"/>
      <c r="AI117" s="73"/>
      <c r="AJ117" s="73"/>
      <c r="AK117" s="73"/>
      <c r="AL117" s="69"/>
      <c r="AM117" s="69"/>
      <c r="AN117" s="120"/>
      <c r="AO117" s="76" t="b">
        <f>IF(K117 = "Lease",+PV(AN117/(AF117/Table3[[#This Row],[Assessed Term]]),AF117,-AI117,0,IF(AE117="Beginning",1,0)))</f>
        <v>0</v>
      </c>
      <c r="AP117" s="69"/>
      <c r="AQ117" s="76">
        <f t="shared" si="15"/>
        <v>0</v>
      </c>
      <c r="AR117" s="72"/>
    </row>
    <row r="118" spans="1:44">
      <c r="A118" s="69"/>
      <c r="B118" s="70"/>
      <c r="C118" s="69"/>
      <c r="D118" s="69"/>
      <c r="E118" s="69"/>
      <c r="F118" s="69"/>
      <c r="G118" s="69"/>
      <c r="H118" s="69"/>
      <c r="I118" s="69"/>
      <c r="J118" s="69"/>
      <c r="K118" t="str">
        <f t="shared" si="7"/>
        <v>Not a Lease</v>
      </c>
      <c r="L118" s="69"/>
      <c r="M118" s="69"/>
      <c r="N118" s="69"/>
      <c r="O118" s="69"/>
      <c r="P118" s="69"/>
      <c r="Q118" s="69"/>
      <c r="R118" s="69"/>
      <c r="S118" s="69"/>
      <c r="T118" s="69"/>
      <c r="U118" s="69"/>
      <c r="V118" s="69"/>
      <c r="W118" s="69"/>
      <c r="X118" s="69"/>
      <c r="Y118" s="69"/>
      <c r="Z118">
        <f t="shared" si="14"/>
        <v>0</v>
      </c>
      <c r="AA118">
        <f t="shared" si="9"/>
        <v>0</v>
      </c>
      <c r="AB118">
        <f t="shared" si="10"/>
        <v>0</v>
      </c>
      <c r="AC118">
        <f>+IF(Table3[[#This Row],[Do Both Parties have to agree for extension to occur?]]="Yes",0,IF(AND(W118="Yes",Q118="Yes"),IF(R118=X118,R118,MAX(R118,X118)),IF(AND(W118="Yes",OR(Q118="No",Q118="")),X118,IF(AND(OR(W118="No",W118=""),Q118="Yes"),R118,0))))</f>
        <v>0</v>
      </c>
      <c r="AD118" s="69"/>
      <c r="AE118" s="69"/>
      <c r="AF118" t="str">
        <f>IF(AD118="Monthly",Table3[[#This Row],[Assessed Term]]*12,IF(AD118="quarterly",Table3[[#This Row],[Assessed Term]]*4,IF(AD118="annually",Table3[[#This Row],[Assessed Term]]*1,IF(AD118="weekly",Table3[[#This Row],[Assessed Term]]*52,IF(AD118="semiannually",Table3[[#This Row],[Assessed Term]]*2," ")))))</f>
        <v xml:space="preserve"> </v>
      </c>
      <c r="AG118" s="69"/>
      <c r="AH118" s="69"/>
      <c r="AI118" s="73"/>
      <c r="AJ118" s="73"/>
      <c r="AK118" s="73"/>
      <c r="AL118" s="69"/>
      <c r="AM118" s="69"/>
      <c r="AN118" s="120"/>
      <c r="AO118" s="76" t="b">
        <f>IF(K118 = "Lease",+PV(AN118/(AF118/Table3[[#This Row],[Assessed Term]]),AF118,-AI118,0,IF(AE118="Beginning",1,0)))</f>
        <v>0</v>
      </c>
      <c r="AP118" s="69"/>
      <c r="AQ118" s="76">
        <f t="shared" si="15"/>
        <v>0</v>
      </c>
      <c r="AR118" s="72"/>
    </row>
    <row r="119" spans="1:44">
      <c r="A119" s="69"/>
      <c r="B119" s="70"/>
      <c r="C119" s="69"/>
      <c r="D119" s="69"/>
      <c r="E119" s="69"/>
      <c r="F119" s="69"/>
      <c r="G119" s="69"/>
      <c r="H119" s="69"/>
      <c r="I119" s="69"/>
      <c r="J119" s="69"/>
      <c r="K119" t="str">
        <f t="shared" si="7"/>
        <v>Not a Lease</v>
      </c>
      <c r="L119" s="69"/>
      <c r="M119" s="69"/>
      <c r="N119" s="69"/>
      <c r="O119" s="69"/>
      <c r="P119" s="69"/>
      <c r="Q119" s="69"/>
      <c r="R119" s="69"/>
      <c r="S119" s="69"/>
      <c r="T119" s="69"/>
      <c r="U119" s="69"/>
      <c r="V119" s="69"/>
      <c r="W119" s="69"/>
      <c r="X119" s="69"/>
      <c r="Y119" s="69"/>
      <c r="Z119">
        <f t="shared" si="14"/>
        <v>0</v>
      </c>
      <c r="AA119">
        <f t="shared" si="9"/>
        <v>0</v>
      </c>
      <c r="AB119">
        <f t="shared" si="10"/>
        <v>0</v>
      </c>
      <c r="AC119">
        <f>+IF(Table3[[#This Row],[Do Both Parties have to agree for extension to occur?]]="Yes",0,IF(AND(W119="Yes",Q119="Yes"),IF(R119=X119,R119,MAX(R119,X119)),IF(AND(W119="Yes",OR(Q119="No",Q119="")),X119,IF(AND(OR(W119="No",W119=""),Q119="Yes"),R119,0))))</f>
        <v>0</v>
      </c>
      <c r="AD119" s="69"/>
      <c r="AE119" s="69"/>
      <c r="AF119" t="str">
        <f>IF(AD119="Monthly",Table3[[#This Row],[Assessed Term]]*12,IF(AD119="quarterly",Table3[[#This Row],[Assessed Term]]*4,IF(AD119="annually",Table3[[#This Row],[Assessed Term]]*1,IF(AD119="weekly",Table3[[#This Row],[Assessed Term]]*52,IF(AD119="semiannually",Table3[[#This Row],[Assessed Term]]*2," ")))))</f>
        <v xml:space="preserve"> </v>
      </c>
      <c r="AG119" s="69"/>
      <c r="AH119" s="69"/>
      <c r="AI119" s="73"/>
      <c r="AJ119" s="73"/>
      <c r="AK119" s="73"/>
      <c r="AL119" s="69"/>
      <c r="AM119" s="69"/>
      <c r="AN119" s="120"/>
      <c r="AO119" s="76" t="b">
        <f>IF(K119 = "Lease",+PV(AN119/(AF119/Table3[[#This Row],[Assessed Term]]),AF119,-AI119,0,IF(AE119="Beginning",1,0)))</f>
        <v>0</v>
      </c>
      <c r="AP119" s="69"/>
      <c r="AQ119" s="76">
        <f t="shared" si="15"/>
        <v>0</v>
      </c>
      <c r="AR119" s="72"/>
    </row>
    <row r="120" spans="1:44">
      <c r="A120" s="69"/>
      <c r="B120" s="70"/>
      <c r="C120" s="69"/>
      <c r="D120" s="69"/>
      <c r="E120" s="69"/>
      <c r="F120" s="69"/>
      <c r="G120" s="69"/>
      <c r="H120" s="69"/>
      <c r="I120" s="69"/>
      <c r="J120" s="69"/>
      <c r="K120" t="str">
        <f t="shared" si="7"/>
        <v>Not a Lease</v>
      </c>
      <c r="L120" s="69"/>
      <c r="M120" s="69"/>
      <c r="N120" s="69"/>
      <c r="O120" s="69"/>
      <c r="P120" s="69"/>
      <c r="Q120" s="69"/>
      <c r="R120" s="69"/>
      <c r="S120" s="69"/>
      <c r="T120" s="69"/>
      <c r="U120" s="69"/>
      <c r="V120" s="69"/>
      <c r="W120" s="69"/>
      <c r="X120" s="69"/>
      <c r="Y120" s="69"/>
      <c r="Z120">
        <f t="shared" si="14"/>
        <v>0</v>
      </c>
      <c r="AA120">
        <f t="shared" si="9"/>
        <v>0</v>
      </c>
      <c r="AB120">
        <f t="shared" si="10"/>
        <v>0</v>
      </c>
      <c r="AC120">
        <f>+IF(Table3[[#This Row],[Do Both Parties have to agree for extension to occur?]]="Yes",0,IF(AND(W120="Yes",Q120="Yes"),IF(R120=X120,R120,MAX(R120,X120)),IF(AND(W120="Yes",OR(Q120="No",Q120="")),X120,IF(AND(OR(W120="No",W120=""),Q120="Yes"),R120,0))))</f>
        <v>0</v>
      </c>
      <c r="AD120" s="69"/>
      <c r="AE120" s="69"/>
      <c r="AF120" t="str">
        <f>IF(AD120="Monthly",Table3[[#This Row],[Assessed Term]]*12,IF(AD120="quarterly",Table3[[#This Row],[Assessed Term]]*4,IF(AD120="annually",Table3[[#This Row],[Assessed Term]]*1,IF(AD120="weekly",Table3[[#This Row],[Assessed Term]]*52,IF(AD120="semiannually",Table3[[#This Row],[Assessed Term]]*2," ")))))</f>
        <v xml:space="preserve"> </v>
      </c>
      <c r="AG120" s="69"/>
      <c r="AH120" s="69"/>
      <c r="AI120" s="73"/>
      <c r="AJ120" s="73"/>
      <c r="AK120" s="73"/>
      <c r="AL120" s="69"/>
      <c r="AM120" s="69"/>
      <c r="AN120" s="120"/>
      <c r="AO120" s="76" t="b">
        <f>IF(K120 = "Lease",+PV(AN120/(AF120/Table3[[#This Row],[Assessed Term]]),AF120,-AI120,0,IF(AE120="Beginning",1,0)))</f>
        <v>0</v>
      </c>
      <c r="AP120" s="69"/>
      <c r="AQ120" s="76">
        <f t="shared" si="15"/>
        <v>0</v>
      </c>
      <c r="AR120" s="72"/>
    </row>
    <row r="121" spans="1:44">
      <c r="A121" s="69"/>
      <c r="B121" s="70"/>
      <c r="C121" s="69"/>
      <c r="D121" s="69"/>
      <c r="E121" s="69"/>
      <c r="F121" s="69"/>
      <c r="G121" s="69"/>
      <c r="H121" s="69"/>
      <c r="I121" s="69"/>
      <c r="J121" s="69"/>
      <c r="K121" t="str">
        <f t="shared" si="7"/>
        <v>Not a Lease</v>
      </c>
      <c r="L121" s="69"/>
      <c r="M121" s="69"/>
      <c r="N121" s="69"/>
      <c r="O121" s="69"/>
      <c r="P121" s="69"/>
      <c r="Q121" s="69"/>
      <c r="R121" s="69"/>
      <c r="S121" s="69"/>
      <c r="T121" s="69"/>
      <c r="U121" s="69"/>
      <c r="V121" s="69"/>
      <c r="W121" s="69"/>
      <c r="X121" s="69"/>
      <c r="Y121" s="69"/>
      <c r="Z121">
        <f t="shared" si="14"/>
        <v>0</v>
      </c>
      <c r="AA121">
        <f t="shared" si="9"/>
        <v>0</v>
      </c>
      <c r="AB121">
        <f t="shared" si="10"/>
        <v>0</v>
      </c>
      <c r="AC121">
        <f>+IF(Table3[[#This Row],[Do Both Parties have to agree for extension to occur?]]="Yes",0,IF(AND(W121="Yes",Q121="Yes"),IF(R121=X121,R121,MAX(R121,X121)),IF(AND(W121="Yes",OR(Q121="No",Q121="")),X121,IF(AND(OR(W121="No",W121=""),Q121="Yes"),R121,0))))</f>
        <v>0</v>
      </c>
      <c r="AD121" s="69"/>
      <c r="AE121" s="69"/>
      <c r="AF121" t="str">
        <f>IF(AD121="Monthly",Table3[[#This Row],[Assessed Term]]*12,IF(AD121="quarterly",Table3[[#This Row],[Assessed Term]]*4,IF(AD121="annually",Table3[[#This Row],[Assessed Term]]*1,IF(AD121="weekly",Table3[[#This Row],[Assessed Term]]*52,IF(AD121="semiannually",Table3[[#This Row],[Assessed Term]]*2," ")))))</f>
        <v xml:space="preserve"> </v>
      </c>
      <c r="AG121" s="69"/>
      <c r="AH121" s="69"/>
      <c r="AI121" s="73"/>
      <c r="AJ121" s="73"/>
      <c r="AK121" s="73"/>
      <c r="AL121" s="69"/>
      <c r="AM121" s="69"/>
      <c r="AN121" s="120"/>
      <c r="AO121" s="76" t="b">
        <f>IF(K121 = "Lease",+PV(AN121/(AF121/Table3[[#This Row],[Assessed Term]]),AF121,-AI121,0,IF(AE121="Beginning",1,0)))</f>
        <v>0</v>
      </c>
      <c r="AP121" s="69"/>
      <c r="AQ121" s="76">
        <f t="shared" si="15"/>
        <v>0</v>
      </c>
      <c r="AR121" s="72"/>
    </row>
    <row r="122" spans="1:44">
      <c r="A122" s="69"/>
      <c r="B122" s="70"/>
      <c r="C122" s="69"/>
      <c r="D122" s="69"/>
      <c r="E122" s="69"/>
      <c r="F122" s="69"/>
      <c r="G122" s="69"/>
      <c r="H122" s="69"/>
      <c r="I122" s="69"/>
      <c r="J122" s="69"/>
      <c r="K122" t="str">
        <f t="shared" si="7"/>
        <v>Not a Lease</v>
      </c>
      <c r="L122" s="69"/>
      <c r="M122" s="69"/>
      <c r="N122" s="69"/>
      <c r="O122" s="69"/>
      <c r="P122" s="69"/>
      <c r="Q122" s="69"/>
      <c r="R122" s="69"/>
      <c r="S122" s="69"/>
      <c r="T122" s="69"/>
      <c r="U122" s="69"/>
      <c r="V122" s="69"/>
      <c r="W122" s="69"/>
      <c r="X122" s="69"/>
      <c r="Y122" s="69"/>
      <c r="Z122">
        <f t="shared" si="14"/>
        <v>0</v>
      </c>
      <c r="AA122">
        <f t="shared" si="9"/>
        <v>0</v>
      </c>
      <c r="AB122">
        <f t="shared" si="10"/>
        <v>0</v>
      </c>
      <c r="AC122">
        <f>+IF(Table3[[#This Row],[Do Both Parties have to agree for extension to occur?]]="Yes",0,IF(AND(W122="Yes",Q122="Yes"),IF(R122=X122,R122,MAX(R122,X122)),IF(AND(W122="Yes",OR(Q122="No",Q122="")),X122,IF(AND(OR(W122="No",W122=""),Q122="Yes"),R122,0))))</f>
        <v>0</v>
      </c>
      <c r="AD122" s="69"/>
      <c r="AE122" s="69"/>
      <c r="AF122" t="str">
        <f>IF(AD122="Monthly",Table3[[#This Row],[Assessed Term]]*12,IF(AD122="quarterly",Table3[[#This Row],[Assessed Term]]*4,IF(AD122="annually",Table3[[#This Row],[Assessed Term]]*1,IF(AD122="weekly",Table3[[#This Row],[Assessed Term]]*52,IF(AD122="semiannually",Table3[[#This Row],[Assessed Term]]*2," ")))))</f>
        <v xml:space="preserve"> </v>
      </c>
      <c r="AG122" s="69"/>
      <c r="AH122" s="69"/>
      <c r="AI122" s="73"/>
      <c r="AJ122" s="73"/>
      <c r="AK122" s="73"/>
      <c r="AL122" s="69"/>
      <c r="AM122" s="69"/>
      <c r="AN122" s="120"/>
      <c r="AO122" s="76" t="b">
        <f>IF(K122 = "Lease",+PV(AN122/(AF122/Table3[[#This Row],[Assessed Term]]),AF122,-AI122,0,IF(AE122="Beginning",1,0)))</f>
        <v>0</v>
      </c>
      <c r="AP122" s="69"/>
      <c r="AQ122" s="76">
        <f t="shared" si="15"/>
        <v>0</v>
      </c>
      <c r="AR122" s="72"/>
    </row>
    <row r="123" spans="1:44">
      <c r="A123" s="69"/>
      <c r="B123" s="70"/>
      <c r="C123" s="69"/>
      <c r="D123" s="69"/>
      <c r="E123" s="69"/>
      <c r="F123" s="69"/>
      <c r="G123" s="69"/>
      <c r="H123" s="69"/>
      <c r="I123" s="69"/>
      <c r="J123" s="69"/>
      <c r="K123" t="str">
        <f t="shared" si="7"/>
        <v>Not a Lease</v>
      </c>
      <c r="L123" s="69"/>
      <c r="M123" s="69"/>
      <c r="N123" s="69"/>
      <c r="O123" s="69"/>
      <c r="P123" s="69"/>
      <c r="Q123" s="69"/>
      <c r="R123" s="69"/>
      <c r="S123" s="69"/>
      <c r="T123" s="69"/>
      <c r="U123" s="69"/>
      <c r="V123" s="69"/>
      <c r="W123" s="69"/>
      <c r="X123" s="69"/>
      <c r="Y123" s="69"/>
      <c r="Z123">
        <f t="shared" si="14"/>
        <v>0</v>
      </c>
      <c r="AA123">
        <f t="shared" si="9"/>
        <v>0</v>
      </c>
      <c r="AB123">
        <f t="shared" si="10"/>
        <v>0</v>
      </c>
      <c r="AC123">
        <f>+IF(Table3[[#This Row],[Do Both Parties have to agree for extension to occur?]]="Yes",0,IF(AND(W123="Yes",Q123="Yes"),IF(R123=X123,R123,MAX(R123,X123)),IF(AND(W123="Yes",OR(Q123="No",Q123="")),X123,IF(AND(OR(W123="No",W123=""),Q123="Yes"),R123,0))))</f>
        <v>0</v>
      </c>
      <c r="AD123" s="69"/>
      <c r="AE123" s="69"/>
      <c r="AF123" t="str">
        <f>IF(AD123="Monthly",Table3[[#This Row],[Assessed Term]]*12,IF(AD123="quarterly",Table3[[#This Row],[Assessed Term]]*4,IF(AD123="annually",Table3[[#This Row],[Assessed Term]]*1,IF(AD123="weekly",Table3[[#This Row],[Assessed Term]]*52,IF(AD123="semiannually",Table3[[#This Row],[Assessed Term]]*2," ")))))</f>
        <v xml:space="preserve"> </v>
      </c>
      <c r="AG123" s="69"/>
      <c r="AH123" s="69"/>
      <c r="AI123" s="73"/>
      <c r="AJ123" s="73"/>
      <c r="AK123" s="73"/>
      <c r="AL123" s="69"/>
      <c r="AM123" s="69"/>
      <c r="AN123" s="120"/>
      <c r="AO123" s="76" t="b">
        <f>IF(K123 = "Lease",+PV(AN123/(AF123/Table3[[#This Row],[Assessed Term]]),AF123,-AI123,0,IF(AE123="Beginning",1,0)))</f>
        <v>0</v>
      </c>
      <c r="AP123" s="69"/>
      <c r="AQ123" s="76">
        <f t="shared" si="15"/>
        <v>0</v>
      </c>
      <c r="AR123" s="72"/>
    </row>
    <row r="124" spans="1:44">
      <c r="A124" s="69"/>
      <c r="B124" s="70"/>
      <c r="C124" s="69"/>
      <c r="D124" s="69"/>
      <c r="E124" s="69"/>
      <c r="F124" s="69"/>
      <c r="G124" s="69"/>
      <c r="H124" s="69"/>
      <c r="I124" s="69"/>
      <c r="J124" s="69"/>
      <c r="K124" t="str">
        <f t="shared" si="7"/>
        <v>Not a Lease</v>
      </c>
      <c r="L124" s="69"/>
      <c r="M124" s="69"/>
      <c r="N124" s="69"/>
      <c r="O124" s="69"/>
      <c r="P124" s="69"/>
      <c r="Q124" s="69"/>
      <c r="R124" s="69"/>
      <c r="S124" s="69"/>
      <c r="T124" s="69"/>
      <c r="U124" s="69"/>
      <c r="V124" s="69"/>
      <c r="W124" s="69"/>
      <c r="X124" s="69"/>
      <c r="Y124" s="69"/>
      <c r="Z124">
        <f t="shared" si="14"/>
        <v>0</v>
      </c>
      <c r="AA124">
        <f t="shared" si="9"/>
        <v>0</v>
      </c>
      <c r="AB124">
        <f t="shared" si="10"/>
        <v>0</v>
      </c>
      <c r="AC124">
        <f>+IF(Table3[[#This Row],[Do Both Parties have to agree for extension to occur?]]="Yes",0,IF(AND(W124="Yes",Q124="Yes"),IF(R124=X124,R124,MAX(R124,X124)),IF(AND(W124="Yes",OR(Q124="No",Q124="")),X124,IF(AND(OR(W124="No",W124=""),Q124="Yes"),R124,0))))</f>
        <v>0</v>
      </c>
      <c r="AD124" s="69"/>
      <c r="AE124" s="69"/>
      <c r="AF124" t="str">
        <f>IF(AD124="Monthly",Table3[[#This Row],[Assessed Term]]*12,IF(AD124="quarterly",Table3[[#This Row],[Assessed Term]]*4,IF(AD124="annually",Table3[[#This Row],[Assessed Term]]*1,IF(AD124="weekly",Table3[[#This Row],[Assessed Term]]*52,IF(AD124="semiannually",Table3[[#This Row],[Assessed Term]]*2," ")))))</f>
        <v xml:space="preserve"> </v>
      </c>
      <c r="AG124" s="69"/>
      <c r="AH124" s="69"/>
      <c r="AI124" s="73"/>
      <c r="AJ124" s="73"/>
      <c r="AK124" s="73"/>
      <c r="AL124" s="69"/>
      <c r="AM124" s="69"/>
      <c r="AN124" s="120"/>
      <c r="AO124" s="76" t="b">
        <f>IF(K124 = "Lease",+PV(AN124/(AF124/Table3[[#This Row],[Assessed Term]]),AF124,-AI124,0,IF(AE124="Beginning",1,0)))</f>
        <v>0</v>
      </c>
      <c r="AP124" s="69"/>
      <c r="AQ124" s="76">
        <f t="shared" si="15"/>
        <v>0</v>
      </c>
      <c r="AR124" s="72"/>
    </row>
    <row r="125" spans="1:44">
      <c r="A125" s="69"/>
      <c r="B125" s="70"/>
      <c r="C125" s="69"/>
      <c r="D125" s="69"/>
      <c r="E125" s="69"/>
      <c r="F125" s="69"/>
      <c r="G125" s="69"/>
      <c r="H125" s="69"/>
      <c r="I125" s="69"/>
      <c r="J125" s="69"/>
      <c r="K125" t="str">
        <f t="shared" si="7"/>
        <v>Not a Lease</v>
      </c>
      <c r="L125" s="69"/>
      <c r="M125" s="69"/>
      <c r="N125" s="69"/>
      <c r="O125" s="69"/>
      <c r="P125" s="69"/>
      <c r="Q125" s="69"/>
      <c r="R125" s="69"/>
      <c r="S125" s="69"/>
      <c r="T125" s="69"/>
      <c r="U125" s="69"/>
      <c r="V125" s="69"/>
      <c r="W125" s="69"/>
      <c r="X125" s="69"/>
      <c r="Y125" s="69"/>
      <c r="Z125">
        <f t="shared" si="14"/>
        <v>0</v>
      </c>
      <c r="AA125">
        <f t="shared" si="9"/>
        <v>0</v>
      </c>
      <c r="AB125">
        <f t="shared" si="10"/>
        <v>0</v>
      </c>
      <c r="AC125">
        <f>+IF(Table3[[#This Row],[Do Both Parties have to agree for extension to occur?]]="Yes",0,IF(AND(W125="Yes",Q125="Yes"),IF(R125=X125,R125,MAX(R125,X125)),IF(AND(W125="Yes",OR(Q125="No",Q125="")),X125,IF(AND(OR(W125="No",W125=""),Q125="Yes"),R125,0))))</f>
        <v>0</v>
      </c>
      <c r="AD125" s="69"/>
      <c r="AE125" s="69"/>
      <c r="AF125" t="str">
        <f>IF(AD125="Monthly",Table3[[#This Row],[Assessed Term]]*12,IF(AD125="quarterly",Table3[[#This Row],[Assessed Term]]*4,IF(AD125="annually",Table3[[#This Row],[Assessed Term]]*1,IF(AD125="weekly",Table3[[#This Row],[Assessed Term]]*52,IF(AD125="semiannually",Table3[[#This Row],[Assessed Term]]*2," ")))))</f>
        <v xml:space="preserve"> </v>
      </c>
      <c r="AG125" s="69"/>
      <c r="AH125" s="69"/>
      <c r="AI125" s="73"/>
      <c r="AJ125" s="73"/>
      <c r="AK125" s="73"/>
      <c r="AL125" s="69"/>
      <c r="AM125" s="69"/>
      <c r="AN125" s="120"/>
      <c r="AO125" s="76" t="b">
        <f>IF(K125 = "Lease",+PV(AN125/(AF125/Table3[[#This Row],[Assessed Term]]),AF125,-AI125,0,IF(AE125="Beginning",1,0)))</f>
        <v>0</v>
      </c>
      <c r="AP125" s="69"/>
      <c r="AQ125" s="76">
        <f t="shared" si="15"/>
        <v>0</v>
      </c>
      <c r="AR125" s="72"/>
    </row>
    <row r="126" spans="1:44">
      <c r="A126" s="69"/>
      <c r="B126" s="70"/>
      <c r="C126" s="69"/>
      <c r="D126" s="69"/>
      <c r="E126" s="69"/>
      <c r="F126" s="69"/>
      <c r="G126" s="69"/>
      <c r="H126" s="69"/>
      <c r="I126" s="69"/>
      <c r="J126" s="69"/>
      <c r="K126" t="str">
        <f t="shared" si="7"/>
        <v>Not a Lease</v>
      </c>
      <c r="L126" s="69"/>
      <c r="M126" s="69"/>
      <c r="N126" s="69"/>
      <c r="O126" s="69"/>
      <c r="P126" s="69"/>
      <c r="Q126" s="69"/>
      <c r="R126" s="69"/>
      <c r="S126" s="69"/>
      <c r="T126" s="69"/>
      <c r="U126" s="69"/>
      <c r="V126" s="69"/>
      <c r="W126" s="69"/>
      <c r="X126" s="69"/>
      <c r="Y126" s="69"/>
      <c r="Z126">
        <f t="shared" si="14"/>
        <v>0</v>
      </c>
      <c r="AA126">
        <f t="shared" si="9"/>
        <v>0</v>
      </c>
      <c r="AB126">
        <f t="shared" si="10"/>
        <v>0</v>
      </c>
      <c r="AC126">
        <f>+IF(Table3[[#This Row],[Do Both Parties have to agree for extension to occur?]]="Yes",0,IF(AND(W126="Yes",Q126="Yes"),IF(R126=X126,R126,MAX(R126,X126)),IF(AND(W126="Yes",OR(Q126="No",Q126="")),X126,IF(AND(OR(W126="No",W126=""),Q126="Yes"),R126,0))))</f>
        <v>0</v>
      </c>
      <c r="AD126" s="69"/>
      <c r="AE126" s="69"/>
      <c r="AF126" t="str">
        <f>IF(AD126="Monthly",Table3[[#This Row],[Assessed Term]]*12,IF(AD126="quarterly",Table3[[#This Row],[Assessed Term]]*4,IF(AD126="annually",Table3[[#This Row],[Assessed Term]]*1,IF(AD126="weekly",Table3[[#This Row],[Assessed Term]]*52,IF(AD126="semiannually",Table3[[#This Row],[Assessed Term]]*2," ")))))</f>
        <v xml:space="preserve"> </v>
      </c>
      <c r="AG126" s="69"/>
      <c r="AH126" s="69"/>
      <c r="AI126" s="73"/>
      <c r="AJ126" s="73"/>
      <c r="AK126" s="73"/>
      <c r="AL126" s="69"/>
      <c r="AM126" s="69"/>
      <c r="AN126" s="120"/>
      <c r="AO126" s="76" t="b">
        <f>IF(K126 = "Lease",+PV(AN126/(AF126/Table3[[#This Row],[Assessed Term]]),AF126,-AI126,0,IF(AE126="Beginning",1,0)))</f>
        <v>0</v>
      </c>
      <c r="AP126" s="69"/>
      <c r="AQ126" s="76">
        <f t="shared" si="15"/>
        <v>0</v>
      </c>
      <c r="AR126" s="72"/>
    </row>
    <row r="127" spans="1:44">
      <c r="A127" s="69"/>
      <c r="B127" s="70"/>
      <c r="C127" s="69"/>
      <c r="D127" s="69"/>
      <c r="E127" s="69"/>
      <c r="F127" s="69"/>
      <c r="G127" s="69"/>
      <c r="H127" s="69"/>
      <c r="I127" s="69"/>
      <c r="J127" s="69"/>
      <c r="K127" t="str">
        <f t="shared" si="7"/>
        <v>Not a Lease</v>
      </c>
      <c r="L127" s="69"/>
      <c r="M127" s="69"/>
      <c r="N127" s="69"/>
      <c r="O127" s="69"/>
      <c r="P127" s="69"/>
      <c r="Q127" s="69"/>
      <c r="R127" s="69"/>
      <c r="S127" s="69"/>
      <c r="T127" s="69"/>
      <c r="U127" s="69"/>
      <c r="V127" s="69"/>
      <c r="W127" s="69"/>
      <c r="X127" s="69"/>
      <c r="Y127" s="69"/>
      <c r="Z127">
        <f t="shared" si="14"/>
        <v>0</v>
      </c>
      <c r="AA127">
        <f t="shared" si="9"/>
        <v>0</v>
      </c>
      <c r="AB127">
        <f t="shared" si="10"/>
        <v>0</v>
      </c>
      <c r="AC127">
        <f>+IF(Table3[[#This Row],[Do Both Parties have to agree for extension to occur?]]="Yes",0,IF(AND(W127="Yes",Q127="Yes"),IF(R127=X127,R127,MAX(R127,X127)),IF(AND(W127="Yes",OR(Q127="No",Q127="")),X127,IF(AND(OR(W127="No",W127=""),Q127="Yes"),R127,0))))</f>
        <v>0</v>
      </c>
      <c r="AD127" s="69"/>
      <c r="AE127" s="69"/>
      <c r="AF127" t="str">
        <f>IF(AD127="Monthly",Table3[[#This Row],[Assessed Term]]*12,IF(AD127="quarterly",Table3[[#This Row],[Assessed Term]]*4,IF(AD127="annually",Table3[[#This Row],[Assessed Term]]*1,IF(AD127="weekly",Table3[[#This Row],[Assessed Term]]*52,IF(AD127="semiannually",Table3[[#This Row],[Assessed Term]]*2," ")))))</f>
        <v xml:space="preserve"> </v>
      </c>
      <c r="AG127" s="69"/>
      <c r="AH127" s="69"/>
      <c r="AI127" s="73"/>
      <c r="AJ127" s="73"/>
      <c r="AK127" s="73"/>
      <c r="AL127" s="69"/>
      <c r="AM127" s="69"/>
      <c r="AN127" s="120"/>
      <c r="AO127" s="76" t="b">
        <f>IF(K127 = "Lease",+PV(AN127/(AF127/Table3[[#This Row],[Assessed Term]]),AF127,-AI127,0,IF(AE127="Beginning",1,0)))</f>
        <v>0</v>
      </c>
      <c r="AP127" s="69"/>
      <c r="AQ127" s="76">
        <f t="shared" si="15"/>
        <v>0</v>
      </c>
      <c r="AR127" s="72"/>
    </row>
    <row r="128" spans="1:44">
      <c r="A128" s="69"/>
      <c r="B128" s="70"/>
      <c r="C128" s="69"/>
      <c r="D128" s="69"/>
      <c r="E128" s="69"/>
      <c r="F128" s="69"/>
      <c r="G128" s="69"/>
      <c r="H128" s="69"/>
      <c r="I128" s="69"/>
      <c r="J128" s="69"/>
      <c r="K128" t="str">
        <f t="shared" si="7"/>
        <v>Not a Lease</v>
      </c>
      <c r="L128" s="69"/>
      <c r="M128" s="69"/>
      <c r="N128" s="69"/>
      <c r="O128" s="69"/>
      <c r="P128" s="69"/>
      <c r="Q128" s="69"/>
      <c r="R128" s="69"/>
      <c r="S128" s="69"/>
      <c r="T128" s="69"/>
      <c r="U128" s="69"/>
      <c r="V128" s="69"/>
      <c r="W128" s="69"/>
      <c r="X128" s="69"/>
      <c r="Y128" s="69"/>
      <c r="Z128">
        <f t="shared" si="14"/>
        <v>0</v>
      </c>
      <c r="AA128">
        <f t="shared" si="9"/>
        <v>0</v>
      </c>
      <c r="AB128">
        <f t="shared" si="10"/>
        <v>0</v>
      </c>
      <c r="AC128">
        <f>+IF(Table3[[#This Row],[Do Both Parties have to agree for extension to occur?]]="Yes",0,IF(AND(W128="Yes",Q128="Yes"),IF(R128=X128,R128,MAX(R128,X128)),IF(AND(W128="Yes",OR(Q128="No",Q128="")),X128,IF(AND(OR(W128="No",W128=""),Q128="Yes"),R128,0))))</f>
        <v>0</v>
      </c>
      <c r="AD128" s="69"/>
      <c r="AE128" s="69"/>
      <c r="AF128" t="str">
        <f>IF(AD128="Monthly",Table3[[#This Row],[Assessed Term]]*12,IF(AD128="quarterly",Table3[[#This Row],[Assessed Term]]*4,IF(AD128="annually",Table3[[#This Row],[Assessed Term]]*1,IF(AD128="weekly",Table3[[#This Row],[Assessed Term]]*52,IF(AD128="semiannually",Table3[[#This Row],[Assessed Term]]*2," ")))))</f>
        <v xml:space="preserve"> </v>
      </c>
      <c r="AG128" s="69"/>
      <c r="AH128" s="69"/>
      <c r="AI128" s="73"/>
      <c r="AJ128" s="73"/>
      <c r="AK128" s="73"/>
      <c r="AL128" s="69"/>
      <c r="AM128" s="69"/>
      <c r="AN128" s="120"/>
      <c r="AO128" s="76" t="b">
        <f>IF(K128 = "Lease",+PV(AN128/(AF128/Table3[[#This Row],[Assessed Term]]),AF128,-AI128,0,IF(AE128="Beginning",1,0)))</f>
        <v>0</v>
      </c>
      <c r="AP128" s="69"/>
      <c r="AQ128" s="76">
        <f t="shared" si="15"/>
        <v>0</v>
      </c>
      <c r="AR128" s="72"/>
    </row>
    <row r="129" spans="1:44">
      <c r="A129" s="69"/>
      <c r="B129" s="70"/>
      <c r="C129" s="69"/>
      <c r="D129" s="69"/>
      <c r="E129" s="69"/>
      <c r="F129" s="69"/>
      <c r="G129" s="69"/>
      <c r="H129" s="69"/>
      <c r="I129" s="69"/>
      <c r="J129" s="69"/>
      <c r="K129" t="str">
        <f t="shared" si="7"/>
        <v>Not a Lease</v>
      </c>
      <c r="L129" s="69"/>
      <c r="M129" s="69"/>
      <c r="N129" s="69"/>
      <c r="O129" s="69"/>
      <c r="P129" s="69"/>
      <c r="Q129" s="69"/>
      <c r="R129" s="69"/>
      <c r="S129" s="69"/>
      <c r="T129" s="69"/>
      <c r="U129" s="69"/>
      <c r="V129" s="69"/>
      <c r="W129" s="69"/>
      <c r="X129" s="69"/>
      <c r="Y129" s="69"/>
      <c r="Z129">
        <f t="shared" si="14"/>
        <v>0</v>
      </c>
      <c r="AA129">
        <f t="shared" si="9"/>
        <v>0</v>
      </c>
      <c r="AB129">
        <f t="shared" si="10"/>
        <v>0</v>
      </c>
      <c r="AC129">
        <f>+IF(Table3[[#This Row],[Do Both Parties have to agree for extension to occur?]]="Yes",0,IF(AND(W129="Yes",Q129="Yes"),IF(R129=X129,R129,MAX(R129,X129)),IF(AND(W129="Yes",OR(Q129="No",Q129="")),X129,IF(AND(OR(W129="No",W129=""),Q129="Yes"),R129,0))))</f>
        <v>0</v>
      </c>
      <c r="AD129" s="69"/>
      <c r="AE129" s="69"/>
      <c r="AF129" t="str">
        <f>IF(AD129="Monthly",Table3[[#This Row],[Assessed Term]]*12,IF(AD129="quarterly",Table3[[#This Row],[Assessed Term]]*4,IF(AD129="annually",Table3[[#This Row],[Assessed Term]]*1,IF(AD129="weekly",Table3[[#This Row],[Assessed Term]]*52,IF(AD129="semiannually",Table3[[#This Row],[Assessed Term]]*2," ")))))</f>
        <v xml:space="preserve"> </v>
      </c>
      <c r="AG129" s="69"/>
      <c r="AH129" s="69"/>
      <c r="AI129" s="73"/>
      <c r="AJ129" s="73"/>
      <c r="AK129" s="73"/>
      <c r="AL129" s="69"/>
      <c r="AM129" s="69"/>
      <c r="AN129" s="120"/>
      <c r="AO129" s="76" t="b">
        <f>IF(K129 = "Lease",+PV(AN129/(AF129/Table3[[#This Row],[Assessed Term]]),AF129,-AI129,0,IF(AE129="Beginning",1,0)))</f>
        <v>0</v>
      </c>
      <c r="AP129" s="69"/>
      <c r="AQ129" s="76">
        <f t="shared" si="15"/>
        <v>0</v>
      </c>
      <c r="AR129" s="72"/>
    </row>
    <row r="130" spans="1:44">
      <c r="A130" s="69"/>
      <c r="B130" s="70"/>
      <c r="C130" s="69"/>
      <c r="D130" s="69"/>
      <c r="E130" s="69"/>
      <c r="F130" s="69"/>
      <c r="G130" s="69"/>
      <c r="H130" s="69"/>
      <c r="I130" s="69"/>
      <c r="J130" s="69"/>
      <c r="K130" t="str">
        <f t="shared" si="7"/>
        <v>Not a Lease</v>
      </c>
      <c r="L130" s="69"/>
      <c r="M130" s="69"/>
      <c r="N130" s="69"/>
      <c r="O130" s="69"/>
      <c r="P130" s="69"/>
      <c r="Q130" s="69"/>
      <c r="R130" s="69"/>
      <c r="S130" s="69"/>
      <c r="T130" s="69"/>
      <c r="U130" s="69"/>
      <c r="V130" s="69"/>
      <c r="W130" s="69"/>
      <c r="X130" s="69"/>
      <c r="Y130" s="69"/>
      <c r="Z130">
        <f t="shared" si="14"/>
        <v>0</v>
      </c>
      <c r="AA130">
        <f t="shared" si="9"/>
        <v>0</v>
      </c>
      <c r="AB130">
        <f t="shared" si="10"/>
        <v>0</v>
      </c>
      <c r="AC130">
        <f>+IF(Table3[[#This Row],[Do Both Parties have to agree for extension to occur?]]="Yes",0,IF(AND(W130="Yes",Q130="Yes"),IF(R130=X130,R130,MAX(R130,X130)),IF(AND(W130="Yes",OR(Q130="No",Q130="")),X130,IF(AND(OR(W130="No",W130=""),Q130="Yes"),R130,0))))</f>
        <v>0</v>
      </c>
      <c r="AD130" s="69"/>
      <c r="AE130" s="69"/>
      <c r="AF130" t="str">
        <f>IF(AD130="Monthly",Table3[[#This Row],[Assessed Term]]*12,IF(AD130="quarterly",Table3[[#This Row],[Assessed Term]]*4,IF(AD130="annually",Table3[[#This Row],[Assessed Term]]*1,IF(AD130="weekly",Table3[[#This Row],[Assessed Term]]*52,IF(AD130="semiannually",Table3[[#This Row],[Assessed Term]]*2," ")))))</f>
        <v xml:space="preserve"> </v>
      </c>
      <c r="AG130" s="69"/>
      <c r="AH130" s="69"/>
      <c r="AI130" s="73"/>
      <c r="AJ130" s="73"/>
      <c r="AK130" s="73"/>
      <c r="AL130" s="69"/>
      <c r="AM130" s="69"/>
      <c r="AN130" s="120"/>
      <c r="AO130" s="76" t="b">
        <f>IF(K130 = "Lease",+PV(AN130/(AF130/Table3[[#This Row],[Assessed Term]]),AF130,-AI130,0,IF(AE130="Beginning",1,0)))</f>
        <v>0</v>
      </c>
      <c r="AP130" s="69"/>
      <c r="AQ130" s="76">
        <f t="shared" si="15"/>
        <v>0</v>
      </c>
      <c r="AR130" s="72"/>
    </row>
    <row r="131" spans="1:44">
      <c r="A131" s="69"/>
      <c r="B131" s="70"/>
      <c r="C131" s="69"/>
      <c r="D131" s="69"/>
      <c r="E131" s="69"/>
      <c r="F131" s="69"/>
      <c r="G131" s="69"/>
      <c r="H131" s="69"/>
      <c r="I131" s="69"/>
      <c r="J131" s="69"/>
      <c r="K131" t="str">
        <f t="shared" si="7"/>
        <v>Not a Lease</v>
      </c>
      <c r="L131" s="69"/>
      <c r="M131" s="69"/>
      <c r="N131" s="69"/>
      <c r="O131" s="69"/>
      <c r="P131" s="69"/>
      <c r="Q131" s="69"/>
      <c r="R131" s="69"/>
      <c r="S131" s="69"/>
      <c r="T131" s="69"/>
      <c r="U131" s="69"/>
      <c r="V131" s="69"/>
      <c r="W131" s="69"/>
      <c r="X131" s="69"/>
      <c r="Y131" s="69"/>
      <c r="Z131">
        <f t="shared" si="14"/>
        <v>0</v>
      </c>
      <c r="AA131">
        <f t="shared" si="9"/>
        <v>0</v>
      </c>
      <c r="AB131">
        <f t="shared" si="10"/>
        <v>0</v>
      </c>
      <c r="AC131">
        <f>+IF(Table3[[#This Row],[Do Both Parties have to agree for extension to occur?]]="Yes",0,IF(AND(W131="Yes",Q131="Yes"),IF(R131=X131,R131,MAX(R131,X131)),IF(AND(W131="Yes",OR(Q131="No",Q131="")),X131,IF(AND(OR(W131="No",W131=""),Q131="Yes"),R131,0))))</f>
        <v>0</v>
      </c>
      <c r="AD131" s="69"/>
      <c r="AE131" s="69"/>
      <c r="AF131" t="str">
        <f>IF(AD131="Monthly",Table3[[#This Row],[Assessed Term]]*12,IF(AD131="quarterly",Table3[[#This Row],[Assessed Term]]*4,IF(AD131="annually",Table3[[#This Row],[Assessed Term]]*1,IF(AD131="weekly",Table3[[#This Row],[Assessed Term]]*52,IF(AD131="semiannually",Table3[[#This Row],[Assessed Term]]*2," ")))))</f>
        <v xml:space="preserve"> </v>
      </c>
      <c r="AG131" s="69"/>
      <c r="AH131" s="69"/>
      <c r="AI131" s="73"/>
      <c r="AJ131" s="73"/>
      <c r="AK131" s="73"/>
      <c r="AL131" s="69"/>
      <c r="AM131" s="69"/>
      <c r="AN131" s="120"/>
      <c r="AO131" s="76" t="b">
        <f>IF(K131 = "Lease",+PV(AN131/(AF131/Table3[[#This Row],[Assessed Term]]),AF131,-AI131,0,IF(AE131="Beginning",1,0)))</f>
        <v>0</v>
      </c>
      <c r="AP131" s="69"/>
      <c r="AQ131" s="76">
        <f t="shared" si="15"/>
        <v>0</v>
      </c>
      <c r="AR131" s="72"/>
    </row>
    <row r="132" spans="1:44">
      <c r="A132" s="69"/>
      <c r="B132" s="70"/>
      <c r="C132" s="69"/>
      <c r="D132" s="69"/>
      <c r="E132" s="69"/>
      <c r="F132" s="69"/>
      <c r="G132" s="69"/>
      <c r="H132" s="69"/>
      <c r="I132" s="69"/>
      <c r="J132" s="69"/>
      <c r="K132" t="str">
        <f t="shared" ref="K132:K195" si="16">+IF(AND(F132="yes",G132="yes", H132="no",E132&lt;&gt;"Intangible Asset",E132&lt;&gt;"Service",I132 ="yes", E132&lt;&gt;"Investment", E132&lt;&gt;"Inventory",J132&lt;&gt;"Yes",E132&lt;&gt;""),"Lease","Not a Lease")</f>
        <v>Not a Lease</v>
      </c>
      <c r="L132" s="69"/>
      <c r="M132" s="69"/>
      <c r="N132" s="69"/>
      <c r="O132" s="69"/>
      <c r="P132" s="69"/>
      <c r="Q132" s="69"/>
      <c r="R132" s="69"/>
      <c r="S132" s="69"/>
      <c r="T132" s="69"/>
      <c r="U132" s="69"/>
      <c r="V132" s="69"/>
      <c r="W132" s="69"/>
      <c r="X132" s="69"/>
      <c r="Y132" s="69"/>
      <c r="Z132">
        <f t="shared" si="14"/>
        <v>0</v>
      </c>
      <c r="AA132">
        <f t="shared" ref="AA132:AA195" si="17">+IF(AND(S132="Yes",M132="Yes"),IF(OR(O132=U132,O132&lt;U132),U132,O132),L132)</f>
        <v>0</v>
      </c>
      <c r="AB132">
        <f t="shared" ref="AB132:AB195" si="18">+IF(M132=S132,MAX(O132,U132),(IF(OR(T132="yes",N132="Yes"),MIN(O132,U132),IF(AND(T132="Yes",N132="No"),U132,IF(AND(T132="No",N132="Yes"),O132,0)))))</f>
        <v>0</v>
      </c>
      <c r="AC132">
        <f>+IF(Table3[[#This Row],[Do Both Parties have to agree for extension to occur?]]="Yes",0,IF(AND(W132="Yes",Q132="Yes"),IF(R132=X132,R132,MAX(R132,X132)),IF(AND(W132="Yes",OR(Q132="No",Q132="")),X132,IF(AND(OR(W132="No",W132=""),Q132="Yes"),R132,0))))</f>
        <v>0</v>
      </c>
      <c r="AD132" s="69"/>
      <c r="AE132" s="69"/>
      <c r="AF132" t="str">
        <f>IF(AD132="Monthly",Table3[[#This Row],[Assessed Term]]*12,IF(AD132="quarterly",Table3[[#This Row],[Assessed Term]]*4,IF(AD132="annually",Table3[[#This Row],[Assessed Term]]*1,IF(AD132="weekly",Table3[[#This Row],[Assessed Term]]*52,IF(AD132="semiannually",Table3[[#This Row],[Assessed Term]]*2," ")))))</f>
        <v xml:space="preserve"> </v>
      </c>
      <c r="AG132" s="69"/>
      <c r="AH132" s="69"/>
      <c r="AI132" s="73"/>
      <c r="AJ132" s="73"/>
      <c r="AK132" s="73"/>
      <c r="AL132" s="69"/>
      <c r="AM132" s="69"/>
      <c r="AN132" s="120"/>
      <c r="AO132" s="76" t="b">
        <f>IF(K132 = "Lease",+PV(AN132/(AF132/Table3[[#This Row],[Assessed Term]]),AF132,-AI132,0,IF(AE132="Beginning",1,0)))</f>
        <v>0</v>
      </c>
      <c r="AP132" s="69"/>
      <c r="AQ132" s="76">
        <f t="shared" si="15"/>
        <v>0</v>
      </c>
      <c r="AR132" s="72"/>
    </row>
    <row r="133" spans="1:44">
      <c r="A133" s="69"/>
      <c r="B133" s="70"/>
      <c r="C133" s="69"/>
      <c r="D133" s="69"/>
      <c r="E133" s="69"/>
      <c r="F133" s="69"/>
      <c r="G133" s="69"/>
      <c r="H133" s="69"/>
      <c r="I133" s="69"/>
      <c r="J133" s="69"/>
      <c r="K133" t="str">
        <f t="shared" si="16"/>
        <v>Not a Lease</v>
      </c>
      <c r="L133" s="69"/>
      <c r="M133" s="69"/>
      <c r="N133" s="69"/>
      <c r="O133" s="69"/>
      <c r="P133" s="69"/>
      <c r="Q133" s="69"/>
      <c r="R133" s="69"/>
      <c r="S133" s="69"/>
      <c r="T133" s="69"/>
      <c r="U133" s="69"/>
      <c r="V133" s="69"/>
      <c r="W133" s="69"/>
      <c r="X133" s="69"/>
      <c r="Y133" s="69"/>
      <c r="Z133">
        <f t="shared" si="14"/>
        <v>0</v>
      </c>
      <c r="AA133">
        <f t="shared" si="17"/>
        <v>0</v>
      </c>
      <c r="AB133">
        <f t="shared" si="18"/>
        <v>0</v>
      </c>
      <c r="AC133">
        <f>+IF(Table3[[#This Row],[Do Both Parties have to agree for extension to occur?]]="Yes",0,IF(AND(W133="Yes",Q133="Yes"),IF(R133=X133,R133,MAX(R133,X133)),IF(AND(W133="Yes",OR(Q133="No",Q133="")),X133,IF(AND(OR(W133="No",W133=""),Q133="Yes"),R133,0))))</f>
        <v>0</v>
      </c>
      <c r="AD133" s="69"/>
      <c r="AE133" s="69"/>
      <c r="AF133" t="str">
        <f>IF(AD133="Monthly",Table3[[#This Row],[Assessed Term]]*12,IF(AD133="quarterly",Table3[[#This Row],[Assessed Term]]*4,IF(AD133="annually",Table3[[#This Row],[Assessed Term]]*1,IF(AD133="weekly",Table3[[#This Row],[Assessed Term]]*52,IF(AD133="semiannually",Table3[[#This Row],[Assessed Term]]*2," ")))))</f>
        <v xml:space="preserve"> </v>
      </c>
      <c r="AG133" s="69"/>
      <c r="AH133" s="69"/>
      <c r="AI133" s="73"/>
      <c r="AJ133" s="73"/>
      <c r="AK133" s="73"/>
      <c r="AL133" s="69"/>
      <c r="AM133" s="69"/>
      <c r="AN133" s="120"/>
      <c r="AO133" s="76" t="b">
        <f>IF(K133 = "Lease",+PV(AN133/(AF133/Table3[[#This Row],[Assessed Term]]),AF133,-AI133,0,IF(AE133="Beginning",1,0)))</f>
        <v>0</v>
      </c>
      <c r="AP133" s="69"/>
      <c r="AQ133" s="76">
        <f t="shared" si="15"/>
        <v>0</v>
      </c>
      <c r="AR133" s="72"/>
    </row>
    <row r="134" spans="1:44">
      <c r="A134" s="69"/>
      <c r="B134" s="70"/>
      <c r="C134" s="69"/>
      <c r="D134" s="69"/>
      <c r="E134" s="69"/>
      <c r="F134" s="69"/>
      <c r="G134" s="69"/>
      <c r="H134" s="69"/>
      <c r="I134" s="69"/>
      <c r="J134" s="69"/>
      <c r="K134" t="str">
        <f t="shared" si="16"/>
        <v>Not a Lease</v>
      </c>
      <c r="L134" s="69"/>
      <c r="M134" s="69"/>
      <c r="N134" s="69"/>
      <c r="O134" s="69"/>
      <c r="P134" s="69"/>
      <c r="Q134" s="69"/>
      <c r="R134" s="69"/>
      <c r="S134" s="69"/>
      <c r="T134" s="69"/>
      <c r="U134" s="69"/>
      <c r="V134" s="69"/>
      <c r="W134" s="69"/>
      <c r="X134" s="69"/>
      <c r="Y134" s="69"/>
      <c r="Z134">
        <f t="shared" si="14"/>
        <v>0</v>
      </c>
      <c r="AA134">
        <f t="shared" si="17"/>
        <v>0</v>
      </c>
      <c r="AB134">
        <f t="shared" si="18"/>
        <v>0</v>
      </c>
      <c r="AC134">
        <f>+IF(Table3[[#This Row],[Do Both Parties have to agree for extension to occur?]]="Yes",0,IF(AND(W134="Yes",Q134="Yes"),IF(R134=X134,R134,MAX(R134,X134)),IF(AND(W134="Yes",OR(Q134="No",Q134="")),X134,IF(AND(OR(W134="No",W134=""),Q134="Yes"),R134,0))))</f>
        <v>0</v>
      </c>
      <c r="AD134" s="69"/>
      <c r="AE134" s="69"/>
      <c r="AF134" t="str">
        <f>IF(AD134="Monthly",Table3[[#This Row],[Assessed Term]]*12,IF(AD134="quarterly",Table3[[#This Row],[Assessed Term]]*4,IF(AD134="annually",Table3[[#This Row],[Assessed Term]]*1,IF(AD134="weekly",Table3[[#This Row],[Assessed Term]]*52,IF(AD134="semiannually",Table3[[#This Row],[Assessed Term]]*2," ")))))</f>
        <v xml:space="preserve"> </v>
      </c>
      <c r="AG134" s="69"/>
      <c r="AH134" s="69"/>
      <c r="AI134" s="73"/>
      <c r="AJ134" s="73"/>
      <c r="AK134" s="73"/>
      <c r="AL134" s="69"/>
      <c r="AM134" s="69"/>
      <c r="AN134" s="120"/>
      <c r="AO134" s="76" t="b">
        <f>IF(K134 = "Lease",+PV(AN134/(AF134/Table3[[#This Row],[Assessed Term]]),AF134,-AI134,0,IF(AE134="Beginning",1,0)))</f>
        <v>0</v>
      </c>
      <c r="AP134" s="69"/>
      <c r="AQ134" s="76">
        <f t="shared" si="15"/>
        <v>0</v>
      </c>
      <c r="AR134" s="72"/>
    </row>
    <row r="135" spans="1:44">
      <c r="A135" s="69"/>
      <c r="B135" s="70"/>
      <c r="C135" s="69"/>
      <c r="D135" s="69"/>
      <c r="E135" s="69"/>
      <c r="F135" s="69"/>
      <c r="G135" s="69"/>
      <c r="H135" s="69"/>
      <c r="I135" s="69"/>
      <c r="J135" s="69"/>
      <c r="K135" t="str">
        <f t="shared" si="16"/>
        <v>Not a Lease</v>
      </c>
      <c r="L135" s="69"/>
      <c r="M135" s="69"/>
      <c r="N135" s="69"/>
      <c r="O135" s="69"/>
      <c r="P135" s="69"/>
      <c r="Q135" s="69"/>
      <c r="R135" s="69"/>
      <c r="S135" s="69"/>
      <c r="T135" s="69"/>
      <c r="U135" s="69"/>
      <c r="V135" s="69"/>
      <c r="W135" s="69"/>
      <c r="X135" s="69"/>
      <c r="Y135" s="69"/>
      <c r="Z135">
        <f t="shared" si="14"/>
        <v>0</v>
      </c>
      <c r="AA135">
        <f t="shared" si="17"/>
        <v>0</v>
      </c>
      <c r="AB135">
        <f t="shared" si="18"/>
        <v>0</v>
      </c>
      <c r="AC135">
        <f>+IF(Table3[[#This Row],[Do Both Parties have to agree for extension to occur?]]="Yes",0,IF(AND(W135="Yes",Q135="Yes"),IF(R135=X135,R135,MAX(R135,X135)),IF(AND(W135="Yes",OR(Q135="No",Q135="")),X135,IF(AND(OR(W135="No",W135=""),Q135="Yes"),R135,0))))</f>
        <v>0</v>
      </c>
      <c r="AD135" s="69"/>
      <c r="AE135" s="69"/>
      <c r="AF135" t="str">
        <f>IF(AD135="Monthly",Table3[[#This Row],[Assessed Term]]*12,IF(AD135="quarterly",Table3[[#This Row],[Assessed Term]]*4,IF(AD135="annually",Table3[[#This Row],[Assessed Term]]*1,IF(AD135="weekly",Table3[[#This Row],[Assessed Term]]*52,IF(AD135="semiannually",Table3[[#This Row],[Assessed Term]]*2," ")))))</f>
        <v xml:space="preserve"> </v>
      </c>
      <c r="AG135" s="69"/>
      <c r="AH135" s="69"/>
      <c r="AI135" s="73"/>
      <c r="AJ135" s="73"/>
      <c r="AK135" s="73"/>
      <c r="AL135" s="69"/>
      <c r="AM135" s="69"/>
      <c r="AN135" s="120"/>
      <c r="AO135" s="76" t="b">
        <f>IF(K135 = "Lease",+PV(AN135/(AF135/Table3[[#This Row],[Assessed Term]]),AF135,-AI135,0,IF(AE135="Beginning",1,0)))</f>
        <v>0</v>
      </c>
      <c r="AP135" s="69"/>
      <c r="AQ135" s="76">
        <f t="shared" si="15"/>
        <v>0</v>
      </c>
      <c r="AR135" s="72"/>
    </row>
    <row r="136" spans="1:44">
      <c r="A136" s="69"/>
      <c r="B136" s="70"/>
      <c r="C136" s="69"/>
      <c r="D136" s="69"/>
      <c r="E136" s="69"/>
      <c r="F136" s="69"/>
      <c r="G136" s="69"/>
      <c r="H136" s="69"/>
      <c r="I136" s="69"/>
      <c r="J136" s="69"/>
      <c r="K136" t="str">
        <f t="shared" si="16"/>
        <v>Not a Lease</v>
      </c>
      <c r="L136" s="69"/>
      <c r="M136" s="69"/>
      <c r="N136" s="69"/>
      <c r="O136" s="69"/>
      <c r="P136" s="69"/>
      <c r="Q136" s="69"/>
      <c r="R136" s="69"/>
      <c r="S136" s="69"/>
      <c r="T136" s="69"/>
      <c r="U136" s="69"/>
      <c r="V136" s="69"/>
      <c r="W136" s="69"/>
      <c r="X136" s="69"/>
      <c r="Y136" s="69"/>
      <c r="Z136">
        <f t="shared" si="14"/>
        <v>0</v>
      </c>
      <c r="AA136">
        <f t="shared" si="17"/>
        <v>0</v>
      </c>
      <c r="AB136">
        <f t="shared" si="18"/>
        <v>0</v>
      </c>
      <c r="AC136">
        <f>+IF(Table3[[#This Row],[Do Both Parties have to agree for extension to occur?]]="Yes",0,IF(AND(W136="Yes",Q136="Yes"),IF(R136=X136,R136,MAX(R136,X136)),IF(AND(W136="Yes",OR(Q136="No",Q136="")),X136,IF(AND(OR(W136="No",W136=""),Q136="Yes"),R136,0))))</f>
        <v>0</v>
      </c>
      <c r="AD136" s="69"/>
      <c r="AE136" s="69"/>
      <c r="AF136" t="str">
        <f>IF(AD136="Monthly",Table3[[#This Row],[Assessed Term]]*12,IF(AD136="quarterly",Table3[[#This Row],[Assessed Term]]*4,IF(AD136="annually",Table3[[#This Row],[Assessed Term]]*1,IF(AD136="weekly",Table3[[#This Row],[Assessed Term]]*52,IF(AD136="semiannually",Table3[[#This Row],[Assessed Term]]*2," ")))))</f>
        <v xml:space="preserve"> </v>
      </c>
      <c r="AG136" s="69"/>
      <c r="AH136" s="69"/>
      <c r="AI136" s="73"/>
      <c r="AJ136" s="73"/>
      <c r="AK136" s="73"/>
      <c r="AL136" s="69"/>
      <c r="AM136" s="69"/>
      <c r="AN136" s="120"/>
      <c r="AO136" s="76" t="b">
        <f>IF(K136 = "Lease",+PV(AN136/(AF136/Table3[[#This Row],[Assessed Term]]),AF136,-AI136,0,IF(AE136="Beginning",1,0)))</f>
        <v>0</v>
      </c>
      <c r="AP136" s="69"/>
      <c r="AQ136" s="76">
        <f t="shared" si="15"/>
        <v>0</v>
      </c>
      <c r="AR136" s="72"/>
    </row>
    <row r="137" spans="1:44">
      <c r="A137" s="69"/>
      <c r="B137" s="70"/>
      <c r="C137" s="69"/>
      <c r="D137" s="69"/>
      <c r="E137" s="69"/>
      <c r="F137" s="69"/>
      <c r="G137" s="69"/>
      <c r="H137" s="69"/>
      <c r="I137" s="69"/>
      <c r="J137" s="69"/>
      <c r="K137" t="str">
        <f t="shared" si="16"/>
        <v>Not a Lease</v>
      </c>
      <c r="L137" s="69"/>
      <c r="M137" s="69"/>
      <c r="N137" s="69"/>
      <c r="O137" s="69"/>
      <c r="P137" s="69"/>
      <c r="Q137" s="69"/>
      <c r="R137" s="69"/>
      <c r="S137" s="69"/>
      <c r="T137" s="69"/>
      <c r="U137" s="69"/>
      <c r="V137" s="69"/>
      <c r="W137" s="69"/>
      <c r="X137" s="69"/>
      <c r="Y137" s="69"/>
      <c r="Z137">
        <f t="shared" si="14"/>
        <v>0</v>
      </c>
      <c r="AA137">
        <f t="shared" si="17"/>
        <v>0</v>
      </c>
      <c r="AB137">
        <f t="shared" si="18"/>
        <v>0</v>
      </c>
      <c r="AC137">
        <f>+IF(Table3[[#This Row],[Do Both Parties have to agree for extension to occur?]]="Yes",0,IF(AND(W137="Yes",Q137="Yes"),IF(R137=X137,R137,MAX(R137,X137)),IF(AND(W137="Yes",OR(Q137="No",Q137="")),X137,IF(AND(OR(W137="No",W137=""),Q137="Yes"),R137,0))))</f>
        <v>0</v>
      </c>
      <c r="AD137" s="69"/>
      <c r="AE137" s="69"/>
      <c r="AF137" t="str">
        <f>IF(AD137="Monthly",Table3[[#This Row],[Assessed Term]]*12,IF(AD137="quarterly",Table3[[#This Row],[Assessed Term]]*4,IF(AD137="annually",Table3[[#This Row],[Assessed Term]]*1,IF(AD137="weekly",Table3[[#This Row],[Assessed Term]]*52,IF(AD137="semiannually",Table3[[#This Row],[Assessed Term]]*2," ")))))</f>
        <v xml:space="preserve"> </v>
      </c>
      <c r="AG137" s="69"/>
      <c r="AH137" s="69"/>
      <c r="AI137" s="73"/>
      <c r="AJ137" s="73"/>
      <c r="AK137" s="73"/>
      <c r="AL137" s="69"/>
      <c r="AM137" s="69"/>
      <c r="AN137" s="120"/>
      <c r="AO137" s="76" t="b">
        <f>IF(K137 = "Lease",+PV(AN137/(AF137/Table3[[#This Row],[Assessed Term]]),AF137,-AI137,0,IF(AE137="Beginning",1,0)))</f>
        <v>0</v>
      </c>
      <c r="AP137" s="69"/>
      <c r="AQ137" s="76">
        <f t="shared" si="15"/>
        <v>0</v>
      </c>
      <c r="AR137" s="72"/>
    </row>
    <row r="138" spans="1:44">
      <c r="A138" s="69"/>
      <c r="B138" s="70"/>
      <c r="C138" s="69"/>
      <c r="D138" s="69"/>
      <c r="E138" s="69"/>
      <c r="F138" s="69"/>
      <c r="G138" s="69"/>
      <c r="H138" s="69"/>
      <c r="I138" s="69"/>
      <c r="J138" s="69"/>
      <c r="K138" t="str">
        <f t="shared" si="16"/>
        <v>Not a Lease</v>
      </c>
      <c r="L138" s="69"/>
      <c r="M138" s="69"/>
      <c r="N138" s="69"/>
      <c r="O138" s="69"/>
      <c r="P138" s="69"/>
      <c r="Q138" s="69"/>
      <c r="R138" s="69"/>
      <c r="S138" s="69"/>
      <c r="T138" s="69"/>
      <c r="U138" s="69"/>
      <c r="V138" s="69"/>
      <c r="W138" s="69"/>
      <c r="X138" s="69"/>
      <c r="Y138" s="69"/>
      <c r="Z138">
        <f t="shared" si="14"/>
        <v>0</v>
      </c>
      <c r="AA138">
        <f t="shared" si="17"/>
        <v>0</v>
      </c>
      <c r="AB138">
        <f t="shared" si="18"/>
        <v>0</v>
      </c>
      <c r="AC138">
        <f>+IF(Table3[[#This Row],[Do Both Parties have to agree for extension to occur?]]="Yes",0,IF(AND(W138="Yes",Q138="Yes"),IF(R138=X138,R138,MAX(R138,X138)),IF(AND(W138="Yes",OR(Q138="No",Q138="")),X138,IF(AND(OR(W138="No",W138=""),Q138="Yes"),R138,0))))</f>
        <v>0</v>
      </c>
      <c r="AD138" s="69"/>
      <c r="AE138" s="69"/>
      <c r="AF138" t="str">
        <f>IF(AD138="Monthly",Table3[[#This Row],[Assessed Term]]*12,IF(AD138="quarterly",Table3[[#This Row],[Assessed Term]]*4,IF(AD138="annually",Table3[[#This Row],[Assessed Term]]*1,IF(AD138="weekly",Table3[[#This Row],[Assessed Term]]*52,IF(AD138="semiannually",Table3[[#This Row],[Assessed Term]]*2," ")))))</f>
        <v xml:space="preserve"> </v>
      </c>
      <c r="AG138" s="69"/>
      <c r="AH138" s="69"/>
      <c r="AI138" s="73"/>
      <c r="AJ138" s="73"/>
      <c r="AK138" s="73"/>
      <c r="AL138" s="69"/>
      <c r="AM138" s="69"/>
      <c r="AN138" s="120"/>
      <c r="AO138" s="76" t="b">
        <f>IF(K138 = "Lease",+PV(AN138/(AF138/Table3[[#This Row],[Assessed Term]]),AF138,-AI138,0,IF(AE138="Beginning",1,0)))</f>
        <v>0</v>
      </c>
      <c r="AP138" s="69"/>
      <c r="AQ138" s="76">
        <f t="shared" si="15"/>
        <v>0</v>
      </c>
      <c r="AR138" s="72"/>
    </row>
    <row r="139" spans="1:44">
      <c r="A139" s="69"/>
      <c r="B139" s="70"/>
      <c r="C139" s="69"/>
      <c r="D139" s="69"/>
      <c r="E139" s="69"/>
      <c r="F139" s="69"/>
      <c r="G139" s="69"/>
      <c r="H139" s="69"/>
      <c r="I139" s="69"/>
      <c r="J139" s="69"/>
      <c r="K139" t="str">
        <f t="shared" si="16"/>
        <v>Not a Lease</v>
      </c>
      <c r="L139" s="69"/>
      <c r="M139" s="69"/>
      <c r="N139" s="69"/>
      <c r="O139" s="69"/>
      <c r="P139" s="69"/>
      <c r="Q139" s="69"/>
      <c r="R139" s="69"/>
      <c r="S139" s="69"/>
      <c r="T139" s="69"/>
      <c r="U139" s="69"/>
      <c r="V139" s="69"/>
      <c r="W139" s="69"/>
      <c r="X139" s="69"/>
      <c r="Y139" s="69"/>
      <c r="Z139">
        <f t="shared" si="14"/>
        <v>0</v>
      </c>
      <c r="AA139">
        <f t="shared" si="17"/>
        <v>0</v>
      </c>
      <c r="AB139">
        <f t="shared" si="18"/>
        <v>0</v>
      </c>
      <c r="AC139">
        <f>+IF(Table3[[#This Row],[Do Both Parties have to agree for extension to occur?]]="Yes",0,IF(AND(W139="Yes",Q139="Yes"),IF(R139=X139,R139,MAX(R139,X139)),IF(AND(W139="Yes",OR(Q139="No",Q139="")),X139,IF(AND(OR(W139="No",W139=""),Q139="Yes"),R139,0))))</f>
        <v>0</v>
      </c>
      <c r="AD139" s="69"/>
      <c r="AE139" s="69"/>
      <c r="AF139" t="str">
        <f>IF(AD139="Monthly",Table3[[#This Row],[Assessed Term]]*12,IF(AD139="quarterly",Table3[[#This Row],[Assessed Term]]*4,IF(AD139="annually",Table3[[#This Row],[Assessed Term]]*1,IF(AD139="weekly",Table3[[#This Row],[Assessed Term]]*52,IF(AD139="semiannually",Table3[[#This Row],[Assessed Term]]*2," ")))))</f>
        <v xml:space="preserve"> </v>
      </c>
      <c r="AG139" s="69"/>
      <c r="AH139" s="69"/>
      <c r="AI139" s="73"/>
      <c r="AJ139" s="73"/>
      <c r="AK139" s="73"/>
      <c r="AL139" s="69"/>
      <c r="AM139" s="69"/>
      <c r="AN139" s="120"/>
      <c r="AO139" s="76" t="b">
        <f>IF(K139 = "Lease",+PV(AN139/(AF139/Table3[[#This Row],[Assessed Term]]),AF139,-AI139,0,IF(AE139="Beginning",1,0)))</f>
        <v>0</v>
      </c>
      <c r="AP139" s="69"/>
      <c r="AQ139" s="76">
        <f t="shared" si="15"/>
        <v>0</v>
      </c>
      <c r="AR139" s="72"/>
    </row>
    <row r="140" spans="1:44">
      <c r="A140" s="69"/>
      <c r="B140" s="70"/>
      <c r="C140" s="69"/>
      <c r="D140" s="69"/>
      <c r="E140" s="69"/>
      <c r="F140" s="69"/>
      <c r="G140" s="69"/>
      <c r="H140" s="69"/>
      <c r="I140" s="69"/>
      <c r="J140" s="69"/>
      <c r="K140" t="str">
        <f t="shared" si="16"/>
        <v>Not a Lease</v>
      </c>
      <c r="L140" s="69"/>
      <c r="M140" s="69"/>
      <c r="N140" s="69"/>
      <c r="O140" s="69"/>
      <c r="P140" s="69"/>
      <c r="Q140" s="69"/>
      <c r="R140" s="69"/>
      <c r="S140" s="69"/>
      <c r="T140" s="69"/>
      <c r="U140" s="69"/>
      <c r="V140" s="69"/>
      <c r="W140" s="69"/>
      <c r="X140" s="69"/>
      <c r="Y140" s="69"/>
      <c r="Z140">
        <f t="shared" si="14"/>
        <v>0</v>
      </c>
      <c r="AA140">
        <f t="shared" si="17"/>
        <v>0</v>
      </c>
      <c r="AB140">
        <f t="shared" si="18"/>
        <v>0</v>
      </c>
      <c r="AC140">
        <f>+IF(Table3[[#This Row],[Do Both Parties have to agree for extension to occur?]]="Yes",0,IF(AND(W140="Yes",Q140="Yes"),IF(R140=X140,R140,MAX(R140,X140)),IF(AND(W140="Yes",OR(Q140="No",Q140="")),X140,IF(AND(OR(W140="No",W140=""),Q140="Yes"),R140,0))))</f>
        <v>0</v>
      </c>
      <c r="AD140" s="69"/>
      <c r="AE140" s="69"/>
      <c r="AF140" t="str">
        <f>IF(AD140="Monthly",Table3[[#This Row],[Assessed Term]]*12,IF(AD140="quarterly",Table3[[#This Row],[Assessed Term]]*4,IF(AD140="annually",Table3[[#This Row],[Assessed Term]]*1,IF(AD140="weekly",Table3[[#This Row],[Assessed Term]]*52,IF(AD140="semiannually",Table3[[#This Row],[Assessed Term]]*2," ")))))</f>
        <v xml:space="preserve"> </v>
      </c>
      <c r="AG140" s="69"/>
      <c r="AH140" s="69"/>
      <c r="AI140" s="73"/>
      <c r="AJ140" s="73"/>
      <c r="AK140" s="73"/>
      <c r="AL140" s="69"/>
      <c r="AM140" s="69"/>
      <c r="AN140" s="120"/>
      <c r="AO140" s="76" t="b">
        <f>IF(K140 = "Lease",+PV(AN140/(AF140/Table3[[#This Row],[Assessed Term]]),AF140,-AI140,0,IF(AE140="Beginning",1,0)))</f>
        <v>0</v>
      </c>
      <c r="AP140" s="69"/>
      <c r="AQ140" s="76">
        <f t="shared" si="15"/>
        <v>0</v>
      </c>
      <c r="AR140" s="72"/>
    </row>
    <row r="141" spans="1:44">
      <c r="A141" s="69"/>
      <c r="B141" s="70"/>
      <c r="C141" s="69"/>
      <c r="D141" s="69"/>
      <c r="E141" s="69"/>
      <c r="F141" s="69"/>
      <c r="G141" s="69"/>
      <c r="H141" s="69"/>
      <c r="I141" s="69"/>
      <c r="J141" s="69"/>
      <c r="K141" t="str">
        <f t="shared" si="16"/>
        <v>Not a Lease</v>
      </c>
      <c r="L141" s="69"/>
      <c r="M141" s="69"/>
      <c r="N141" s="69"/>
      <c r="O141" s="69"/>
      <c r="P141" s="69"/>
      <c r="Q141" s="69"/>
      <c r="R141" s="69"/>
      <c r="S141" s="69"/>
      <c r="T141" s="69"/>
      <c r="U141" s="69"/>
      <c r="V141" s="69"/>
      <c r="W141" s="69"/>
      <c r="X141" s="69"/>
      <c r="Y141" s="69"/>
      <c r="Z141">
        <f t="shared" si="14"/>
        <v>0</v>
      </c>
      <c r="AA141">
        <f t="shared" si="17"/>
        <v>0</v>
      </c>
      <c r="AB141">
        <f t="shared" si="18"/>
        <v>0</v>
      </c>
      <c r="AC141">
        <f>+IF(Table3[[#This Row],[Do Both Parties have to agree for extension to occur?]]="Yes",0,IF(AND(W141="Yes",Q141="Yes"),IF(R141=X141,R141,MAX(R141,X141)),IF(AND(W141="Yes",OR(Q141="No",Q141="")),X141,IF(AND(OR(W141="No",W141=""),Q141="Yes"),R141,0))))</f>
        <v>0</v>
      </c>
      <c r="AD141" s="69"/>
      <c r="AE141" s="69"/>
      <c r="AF141" t="str">
        <f>IF(AD141="Monthly",Table3[[#This Row],[Assessed Term]]*12,IF(AD141="quarterly",Table3[[#This Row],[Assessed Term]]*4,IF(AD141="annually",Table3[[#This Row],[Assessed Term]]*1,IF(AD141="weekly",Table3[[#This Row],[Assessed Term]]*52,IF(AD141="semiannually",Table3[[#This Row],[Assessed Term]]*2," ")))))</f>
        <v xml:space="preserve"> </v>
      </c>
      <c r="AG141" s="69"/>
      <c r="AH141" s="69"/>
      <c r="AI141" s="73"/>
      <c r="AJ141" s="73"/>
      <c r="AK141" s="73"/>
      <c r="AL141" s="69"/>
      <c r="AM141" s="69"/>
      <c r="AN141" s="120"/>
      <c r="AO141" s="76" t="b">
        <f>IF(K141 = "Lease",+PV(AN141/(AF141/Table3[[#This Row],[Assessed Term]]),AF141,-AI141,0,IF(AE141="Beginning",1,0)))</f>
        <v>0</v>
      </c>
      <c r="AP141" s="69"/>
      <c r="AQ141" s="76">
        <f t="shared" si="15"/>
        <v>0</v>
      </c>
      <c r="AR141" s="72"/>
    </row>
    <row r="142" spans="1:44">
      <c r="A142" s="69"/>
      <c r="B142" s="70"/>
      <c r="C142" s="69"/>
      <c r="D142" s="69"/>
      <c r="E142" s="69"/>
      <c r="F142" s="69"/>
      <c r="G142" s="69"/>
      <c r="H142" s="69"/>
      <c r="I142" s="69"/>
      <c r="J142" s="69"/>
      <c r="K142" t="str">
        <f t="shared" si="16"/>
        <v>Not a Lease</v>
      </c>
      <c r="L142" s="69"/>
      <c r="M142" s="69"/>
      <c r="N142" s="69"/>
      <c r="O142" s="69"/>
      <c r="P142" s="69"/>
      <c r="Q142" s="69"/>
      <c r="R142" s="69"/>
      <c r="S142" s="69"/>
      <c r="T142" s="69"/>
      <c r="U142" s="69"/>
      <c r="V142" s="69"/>
      <c r="W142" s="69"/>
      <c r="X142" s="69"/>
      <c r="Y142" s="69"/>
      <c r="Z142">
        <f t="shared" si="14"/>
        <v>0</v>
      </c>
      <c r="AA142">
        <f t="shared" si="17"/>
        <v>0</v>
      </c>
      <c r="AB142">
        <f t="shared" si="18"/>
        <v>0</v>
      </c>
      <c r="AC142">
        <f>+IF(Table3[[#This Row],[Do Both Parties have to agree for extension to occur?]]="Yes",0,IF(AND(W142="Yes",Q142="Yes"),IF(R142=X142,R142,MAX(R142,X142)),IF(AND(W142="Yes",OR(Q142="No",Q142="")),X142,IF(AND(OR(W142="No",W142=""),Q142="Yes"),R142,0))))</f>
        <v>0</v>
      </c>
      <c r="AD142" s="69"/>
      <c r="AE142" s="69"/>
      <c r="AF142" t="str">
        <f>IF(AD142="Monthly",Table3[[#This Row],[Assessed Term]]*12,IF(AD142="quarterly",Table3[[#This Row],[Assessed Term]]*4,IF(AD142="annually",Table3[[#This Row],[Assessed Term]]*1,IF(AD142="weekly",Table3[[#This Row],[Assessed Term]]*52,IF(AD142="semiannually",Table3[[#This Row],[Assessed Term]]*2," ")))))</f>
        <v xml:space="preserve"> </v>
      </c>
      <c r="AG142" s="69"/>
      <c r="AH142" s="69"/>
      <c r="AI142" s="73"/>
      <c r="AJ142" s="73"/>
      <c r="AK142" s="73"/>
      <c r="AL142" s="69"/>
      <c r="AM142" s="69"/>
      <c r="AN142" s="120"/>
      <c r="AO142" s="76" t="b">
        <f>IF(K142 = "Lease",+PV(AN142/(AF142/Table3[[#This Row],[Assessed Term]]),AF142,-AI142,0,IF(AE142="Beginning",1,0)))</f>
        <v>0</v>
      </c>
      <c r="AP142" s="69"/>
      <c r="AQ142" s="76">
        <f t="shared" si="15"/>
        <v>0</v>
      </c>
      <c r="AR142" s="72"/>
    </row>
    <row r="143" spans="1:44">
      <c r="A143" s="69"/>
      <c r="B143" s="70"/>
      <c r="C143" s="69"/>
      <c r="D143" s="69"/>
      <c r="E143" s="69"/>
      <c r="F143" s="69"/>
      <c r="G143" s="69"/>
      <c r="H143" s="69"/>
      <c r="I143" s="69"/>
      <c r="J143" s="69"/>
      <c r="K143" t="str">
        <f t="shared" si="16"/>
        <v>Not a Lease</v>
      </c>
      <c r="L143" s="69"/>
      <c r="M143" s="69"/>
      <c r="N143" s="69"/>
      <c r="O143" s="69"/>
      <c r="P143" s="69"/>
      <c r="Q143" s="69"/>
      <c r="R143" s="69"/>
      <c r="S143" s="69"/>
      <c r="T143" s="69"/>
      <c r="U143" s="69"/>
      <c r="V143" s="69"/>
      <c r="W143" s="69"/>
      <c r="X143" s="69"/>
      <c r="Y143" s="69"/>
      <c r="Z143">
        <f t="shared" si="14"/>
        <v>0</v>
      </c>
      <c r="AA143">
        <f t="shared" si="17"/>
        <v>0</v>
      </c>
      <c r="AB143">
        <f t="shared" si="18"/>
        <v>0</v>
      </c>
      <c r="AC143">
        <f>+IF(Table3[[#This Row],[Do Both Parties have to agree for extension to occur?]]="Yes",0,IF(AND(W143="Yes",Q143="Yes"),IF(R143=X143,R143,MAX(R143,X143)),IF(AND(W143="Yes",OR(Q143="No",Q143="")),X143,IF(AND(OR(W143="No",W143=""),Q143="Yes"),R143,0))))</f>
        <v>0</v>
      </c>
      <c r="AD143" s="69"/>
      <c r="AE143" s="69"/>
      <c r="AF143" t="str">
        <f>IF(AD143="Monthly",Table3[[#This Row],[Assessed Term]]*12,IF(AD143="quarterly",Table3[[#This Row],[Assessed Term]]*4,IF(AD143="annually",Table3[[#This Row],[Assessed Term]]*1,IF(AD143="weekly",Table3[[#This Row],[Assessed Term]]*52,IF(AD143="semiannually",Table3[[#This Row],[Assessed Term]]*2," ")))))</f>
        <v xml:space="preserve"> </v>
      </c>
      <c r="AG143" s="69"/>
      <c r="AH143" s="69"/>
      <c r="AI143" s="73"/>
      <c r="AJ143" s="73"/>
      <c r="AK143" s="73"/>
      <c r="AL143" s="69"/>
      <c r="AM143" s="69"/>
      <c r="AN143" s="120"/>
      <c r="AO143" s="76" t="b">
        <f>IF(K143 = "Lease",+PV(AN143/(AF143/Table3[[#This Row],[Assessed Term]]),AF143,-AI143,0,IF(AE143="Beginning",1,0)))</f>
        <v>0</v>
      </c>
      <c r="AP143" s="69"/>
      <c r="AQ143" s="76">
        <f t="shared" si="15"/>
        <v>0</v>
      </c>
      <c r="AR143" s="72"/>
    </row>
    <row r="144" spans="1:44">
      <c r="A144" s="69"/>
      <c r="B144" s="70"/>
      <c r="C144" s="69"/>
      <c r="D144" s="69"/>
      <c r="E144" s="69"/>
      <c r="F144" s="69"/>
      <c r="G144" s="69"/>
      <c r="H144" s="69"/>
      <c r="I144" s="69"/>
      <c r="J144" s="69"/>
      <c r="K144" t="str">
        <f t="shared" si="16"/>
        <v>Not a Lease</v>
      </c>
      <c r="L144" s="69"/>
      <c r="M144" s="69"/>
      <c r="N144" s="69"/>
      <c r="O144" s="69"/>
      <c r="P144" s="69"/>
      <c r="Q144" s="69"/>
      <c r="R144" s="69"/>
      <c r="S144" s="69"/>
      <c r="T144" s="69"/>
      <c r="U144" s="69"/>
      <c r="V144" s="69"/>
      <c r="W144" s="69"/>
      <c r="X144" s="69"/>
      <c r="Y144" s="69"/>
      <c r="Z144">
        <f t="shared" ref="Z144:Z175" si="19">+IF(AB144=0,AA144+AC144,AB144)</f>
        <v>0</v>
      </c>
      <c r="AA144">
        <f t="shared" si="17"/>
        <v>0</v>
      </c>
      <c r="AB144">
        <f t="shared" si="18"/>
        <v>0</v>
      </c>
      <c r="AC144">
        <f>+IF(Table3[[#This Row],[Do Both Parties have to agree for extension to occur?]]="Yes",0,IF(AND(W144="Yes",Q144="Yes"),IF(R144=X144,R144,MAX(R144,X144)),IF(AND(W144="Yes",OR(Q144="No",Q144="")),X144,IF(AND(OR(W144="No",W144=""),Q144="Yes"),R144,0))))</f>
        <v>0</v>
      </c>
      <c r="AD144" s="69"/>
      <c r="AE144" s="69"/>
      <c r="AF144" t="str">
        <f>IF(AD144="Monthly",Table3[[#This Row],[Assessed Term]]*12,IF(AD144="quarterly",Table3[[#This Row],[Assessed Term]]*4,IF(AD144="annually",Table3[[#This Row],[Assessed Term]]*1,IF(AD144="weekly",Table3[[#This Row],[Assessed Term]]*52,IF(AD144="semiannually",Table3[[#This Row],[Assessed Term]]*2," ")))))</f>
        <v xml:space="preserve"> </v>
      </c>
      <c r="AG144" s="69"/>
      <c r="AH144" s="69"/>
      <c r="AI144" s="73"/>
      <c r="AJ144" s="73"/>
      <c r="AK144" s="73"/>
      <c r="AL144" s="69"/>
      <c r="AM144" s="69"/>
      <c r="AN144" s="120"/>
      <c r="AO144" s="76" t="b">
        <f>IF(K144 = "Lease",+PV(AN144/(AF144/Table3[[#This Row],[Assessed Term]]),AF144,-AI144,0,IF(AE144="Beginning",1,0)))</f>
        <v>0</v>
      </c>
      <c r="AP144" s="69"/>
      <c r="AQ144" s="76">
        <f t="shared" ref="AQ144:AQ175" si="20">+IF(AP144 = "no",AO144,0)</f>
        <v>0</v>
      </c>
      <c r="AR144" s="72"/>
    </row>
    <row r="145" spans="1:44">
      <c r="A145" s="69"/>
      <c r="B145" s="70"/>
      <c r="C145" s="69"/>
      <c r="D145" s="69"/>
      <c r="E145" s="69"/>
      <c r="F145" s="69"/>
      <c r="G145" s="69"/>
      <c r="H145" s="69"/>
      <c r="I145" s="69"/>
      <c r="J145" s="69"/>
      <c r="K145" t="str">
        <f t="shared" si="16"/>
        <v>Not a Lease</v>
      </c>
      <c r="L145" s="69"/>
      <c r="M145" s="69"/>
      <c r="N145" s="69"/>
      <c r="O145" s="69"/>
      <c r="P145" s="69"/>
      <c r="Q145" s="69"/>
      <c r="R145" s="69"/>
      <c r="S145" s="69"/>
      <c r="T145" s="69"/>
      <c r="U145" s="69"/>
      <c r="V145" s="69"/>
      <c r="W145" s="69"/>
      <c r="X145" s="69"/>
      <c r="Y145" s="69"/>
      <c r="Z145">
        <f t="shared" si="19"/>
        <v>0</v>
      </c>
      <c r="AA145">
        <f t="shared" si="17"/>
        <v>0</v>
      </c>
      <c r="AB145">
        <f t="shared" si="18"/>
        <v>0</v>
      </c>
      <c r="AC145">
        <f>+IF(Table3[[#This Row],[Do Both Parties have to agree for extension to occur?]]="Yes",0,IF(AND(W145="Yes",Q145="Yes"),IF(R145=X145,R145,MAX(R145,X145)),IF(AND(W145="Yes",OR(Q145="No",Q145="")),X145,IF(AND(OR(W145="No",W145=""),Q145="Yes"),R145,0))))</f>
        <v>0</v>
      </c>
      <c r="AD145" s="69"/>
      <c r="AE145" s="69"/>
      <c r="AF145" t="str">
        <f>IF(AD145="Monthly",Table3[[#This Row],[Assessed Term]]*12,IF(AD145="quarterly",Table3[[#This Row],[Assessed Term]]*4,IF(AD145="annually",Table3[[#This Row],[Assessed Term]]*1,IF(AD145="weekly",Table3[[#This Row],[Assessed Term]]*52,IF(AD145="semiannually",Table3[[#This Row],[Assessed Term]]*2," ")))))</f>
        <v xml:space="preserve"> </v>
      </c>
      <c r="AG145" s="69"/>
      <c r="AH145" s="69"/>
      <c r="AI145" s="73"/>
      <c r="AJ145" s="73"/>
      <c r="AK145" s="73"/>
      <c r="AL145" s="69"/>
      <c r="AM145" s="69"/>
      <c r="AN145" s="120"/>
      <c r="AO145" s="76" t="b">
        <f>IF(K145 = "Lease",+PV(AN145/(AF145/Table3[[#This Row],[Assessed Term]]),AF145,-AI145,0,IF(AE145="Beginning",1,0)))</f>
        <v>0</v>
      </c>
      <c r="AP145" s="69"/>
      <c r="AQ145" s="76">
        <f t="shared" si="20"/>
        <v>0</v>
      </c>
      <c r="AR145" s="72"/>
    </row>
    <row r="146" spans="1:44">
      <c r="A146" s="69"/>
      <c r="B146" s="70"/>
      <c r="C146" s="69"/>
      <c r="D146" s="69"/>
      <c r="E146" s="69"/>
      <c r="F146" s="69"/>
      <c r="G146" s="69"/>
      <c r="H146" s="69"/>
      <c r="I146" s="69"/>
      <c r="J146" s="69"/>
      <c r="K146" t="str">
        <f t="shared" si="16"/>
        <v>Not a Lease</v>
      </c>
      <c r="L146" s="69"/>
      <c r="M146" s="69"/>
      <c r="N146" s="69"/>
      <c r="O146" s="69"/>
      <c r="P146" s="69"/>
      <c r="Q146" s="69"/>
      <c r="R146" s="69"/>
      <c r="S146" s="69"/>
      <c r="T146" s="69"/>
      <c r="U146" s="69"/>
      <c r="V146" s="69"/>
      <c r="W146" s="69"/>
      <c r="X146" s="69"/>
      <c r="Y146" s="69"/>
      <c r="Z146">
        <f t="shared" si="19"/>
        <v>0</v>
      </c>
      <c r="AA146">
        <f t="shared" si="17"/>
        <v>0</v>
      </c>
      <c r="AB146">
        <f t="shared" si="18"/>
        <v>0</v>
      </c>
      <c r="AC146">
        <f>+IF(Table3[[#This Row],[Do Both Parties have to agree for extension to occur?]]="Yes",0,IF(AND(W146="Yes",Q146="Yes"),IF(R146=X146,R146,MAX(R146,X146)),IF(AND(W146="Yes",OR(Q146="No",Q146="")),X146,IF(AND(OR(W146="No",W146=""),Q146="Yes"),R146,0))))</f>
        <v>0</v>
      </c>
      <c r="AD146" s="69"/>
      <c r="AE146" s="69"/>
      <c r="AF146" t="str">
        <f>IF(AD146="Monthly",Table3[[#This Row],[Assessed Term]]*12,IF(AD146="quarterly",Table3[[#This Row],[Assessed Term]]*4,IF(AD146="annually",Table3[[#This Row],[Assessed Term]]*1,IF(AD146="weekly",Table3[[#This Row],[Assessed Term]]*52,IF(AD146="semiannually",Table3[[#This Row],[Assessed Term]]*2," ")))))</f>
        <v xml:space="preserve"> </v>
      </c>
      <c r="AG146" s="69"/>
      <c r="AH146" s="69"/>
      <c r="AI146" s="73"/>
      <c r="AJ146" s="73"/>
      <c r="AK146" s="73"/>
      <c r="AL146" s="69"/>
      <c r="AM146" s="69"/>
      <c r="AN146" s="120"/>
      <c r="AO146" s="76" t="b">
        <f>IF(K146 = "Lease",+PV(AN146/(AF146/Table3[[#This Row],[Assessed Term]]),AF146,-AI146,0,IF(AE146="Beginning",1,0)))</f>
        <v>0</v>
      </c>
      <c r="AP146" s="69"/>
      <c r="AQ146" s="76">
        <f t="shared" si="20"/>
        <v>0</v>
      </c>
      <c r="AR146" s="72"/>
    </row>
    <row r="147" spans="1:44">
      <c r="A147" s="69"/>
      <c r="B147" s="70"/>
      <c r="C147" s="69"/>
      <c r="D147" s="69"/>
      <c r="E147" s="69"/>
      <c r="F147" s="69"/>
      <c r="G147" s="69"/>
      <c r="H147" s="69"/>
      <c r="I147" s="69"/>
      <c r="J147" s="69"/>
      <c r="K147" t="str">
        <f t="shared" si="16"/>
        <v>Not a Lease</v>
      </c>
      <c r="L147" s="69"/>
      <c r="M147" s="69"/>
      <c r="N147" s="69"/>
      <c r="O147" s="69"/>
      <c r="P147" s="69"/>
      <c r="Q147" s="69"/>
      <c r="R147" s="69"/>
      <c r="S147" s="69"/>
      <c r="T147" s="69"/>
      <c r="U147" s="69"/>
      <c r="V147" s="69"/>
      <c r="W147" s="69"/>
      <c r="X147" s="69"/>
      <c r="Y147" s="69"/>
      <c r="Z147">
        <f t="shared" si="19"/>
        <v>0</v>
      </c>
      <c r="AA147">
        <f t="shared" si="17"/>
        <v>0</v>
      </c>
      <c r="AB147">
        <f t="shared" si="18"/>
        <v>0</v>
      </c>
      <c r="AC147">
        <f>+IF(Table3[[#This Row],[Do Both Parties have to agree for extension to occur?]]="Yes",0,IF(AND(W147="Yes",Q147="Yes"),IF(R147=X147,R147,MAX(R147,X147)),IF(AND(W147="Yes",OR(Q147="No",Q147="")),X147,IF(AND(OR(W147="No",W147=""),Q147="Yes"),R147,0))))</f>
        <v>0</v>
      </c>
      <c r="AD147" s="69"/>
      <c r="AE147" s="69"/>
      <c r="AF147" t="str">
        <f>IF(AD147="Monthly",Table3[[#This Row],[Assessed Term]]*12,IF(AD147="quarterly",Table3[[#This Row],[Assessed Term]]*4,IF(AD147="annually",Table3[[#This Row],[Assessed Term]]*1,IF(AD147="weekly",Table3[[#This Row],[Assessed Term]]*52,IF(AD147="semiannually",Table3[[#This Row],[Assessed Term]]*2," ")))))</f>
        <v xml:space="preserve"> </v>
      </c>
      <c r="AG147" s="69"/>
      <c r="AH147" s="69"/>
      <c r="AI147" s="73"/>
      <c r="AJ147" s="73"/>
      <c r="AK147" s="73"/>
      <c r="AL147" s="69"/>
      <c r="AM147" s="69"/>
      <c r="AN147" s="120"/>
      <c r="AO147" s="76" t="b">
        <f>IF(K147 = "Lease",+PV(AN147/(AF147/Table3[[#This Row],[Assessed Term]]),AF147,-AI147,0,IF(AE147="Beginning",1,0)))</f>
        <v>0</v>
      </c>
      <c r="AP147" s="69"/>
      <c r="AQ147" s="76">
        <f t="shared" si="20"/>
        <v>0</v>
      </c>
      <c r="AR147" s="72"/>
    </row>
    <row r="148" spans="1:44">
      <c r="A148" s="69"/>
      <c r="B148" s="70"/>
      <c r="C148" s="69"/>
      <c r="D148" s="69"/>
      <c r="E148" s="69"/>
      <c r="F148" s="69"/>
      <c r="G148" s="69"/>
      <c r="H148" s="69"/>
      <c r="I148" s="69"/>
      <c r="J148" s="69"/>
      <c r="K148" t="str">
        <f t="shared" si="16"/>
        <v>Not a Lease</v>
      </c>
      <c r="L148" s="69"/>
      <c r="M148" s="69"/>
      <c r="N148" s="69"/>
      <c r="O148" s="69"/>
      <c r="P148" s="69"/>
      <c r="Q148" s="69"/>
      <c r="R148" s="69"/>
      <c r="S148" s="69"/>
      <c r="T148" s="69"/>
      <c r="U148" s="69"/>
      <c r="V148" s="69"/>
      <c r="W148" s="69"/>
      <c r="X148" s="69"/>
      <c r="Y148" s="69"/>
      <c r="Z148">
        <f t="shared" si="19"/>
        <v>0</v>
      </c>
      <c r="AA148">
        <f t="shared" si="17"/>
        <v>0</v>
      </c>
      <c r="AB148">
        <f t="shared" si="18"/>
        <v>0</v>
      </c>
      <c r="AC148">
        <f>+IF(Table3[[#This Row],[Do Both Parties have to agree for extension to occur?]]="Yes",0,IF(AND(W148="Yes",Q148="Yes"),IF(R148=X148,R148,MAX(R148,X148)),IF(AND(W148="Yes",OR(Q148="No",Q148="")),X148,IF(AND(OR(W148="No",W148=""),Q148="Yes"),R148,0))))</f>
        <v>0</v>
      </c>
      <c r="AD148" s="69"/>
      <c r="AE148" s="69"/>
      <c r="AF148" t="str">
        <f>IF(AD148="Monthly",Table3[[#This Row],[Assessed Term]]*12,IF(AD148="quarterly",Table3[[#This Row],[Assessed Term]]*4,IF(AD148="annually",Table3[[#This Row],[Assessed Term]]*1,IF(AD148="weekly",Table3[[#This Row],[Assessed Term]]*52,IF(AD148="semiannually",Table3[[#This Row],[Assessed Term]]*2," ")))))</f>
        <v xml:space="preserve"> </v>
      </c>
      <c r="AG148" s="69"/>
      <c r="AH148" s="69"/>
      <c r="AI148" s="73"/>
      <c r="AJ148" s="73"/>
      <c r="AK148" s="73"/>
      <c r="AL148" s="69"/>
      <c r="AM148" s="69"/>
      <c r="AN148" s="120"/>
      <c r="AO148" s="76" t="b">
        <f>IF(K148 = "Lease",+PV(AN148/(AF148/Table3[[#This Row],[Assessed Term]]),AF148,-AI148,0,IF(AE148="Beginning",1,0)))</f>
        <v>0</v>
      </c>
      <c r="AP148" s="69"/>
      <c r="AQ148" s="76">
        <f t="shared" si="20"/>
        <v>0</v>
      </c>
      <c r="AR148" s="72"/>
    </row>
    <row r="149" spans="1:44">
      <c r="A149" s="69"/>
      <c r="B149" s="70"/>
      <c r="C149" s="69"/>
      <c r="D149" s="69"/>
      <c r="E149" s="69"/>
      <c r="F149" s="69"/>
      <c r="G149" s="69"/>
      <c r="H149" s="69"/>
      <c r="I149" s="69"/>
      <c r="J149" s="69"/>
      <c r="K149" t="str">
        <f t="shared" si="16"/>
        <v>Not a Lease</v>
      </c>
      <c r="L149" s="69"/>
      <c r="M149" s="69"/>
      <c r="N149" s="69"/>
      <c r="O149" s="69"/>
      <c r="P149" s="69"/>
      <c r="Q149" s="69"/>
      <c r="R149" s="69"/>
      <c r="S149" s="69"/>
      <c r="T149" s="69"/>
      <c r="U149" s="69"/>
      <c r="V149" s="69"/>
      <c r="W149" s="69"/>
      <c r="X149" s="69"/>
      <c r="Y149" s="69"/>
      <c r="Z149">
        <f t="shared" si="19"/>
        <v>0</v>
      </c>
      <c r="AA149">
        <f t="shared" si="17"/>
        <v>0</v>
      </c>
      <c r="AB149">
        <f t="shared" si="18"/>
        <v>0</v>
      </c>
      <c r="AC149">
        <f>+IF(Table3[[#This Row],[Do Both Parties have to agree for extension to occur?]]="Yes",0,IF(AND(W149="Yes",Q149="Yes"),IF(R149=X149,R149,MAX(R149,X149)),IF(AND(W149="Yes",OR(Q149="No",Q149="")),X149,IF(AND(OR(W149="No",W149=""),Q149="Yes"),R149,0))))</f>
        <v>0</v>
      </c>
      <c r="AD149" s="69"/>
      <c r="AE149" s="69"/>
      <c r="AF149" t="str">
        <f>IF(AD149="Monthly",Table3[[#This Row],[Assessed Term]]*12,IF(AD149="quarterly",Table3[[#This Row],[Assessed Term]]*4,IF(AD149="annually",Table3[[#This Row],[Assessed Term]]*1,IF(AD149="weekly",Table3[[#This Row],[Assessed Term]]*52,IF(AD149="semiannually",Table3[[#This Row],[Assessed Term]]*2," ")))))</f>
        <v xml:space="preserve"> </v>
      </c>
      <c r="AG149" s="69"/>
      <c r="AH149" s="69"/>
      <c r="AI149" s="73"/>
      <c r="AJ149" s="73"/>
      <c r="AK149" s="73"/>
      <c r="AL149" s="69"/>
      <c r="AM149" s="69"/>
      <c r="AN149" s="120"/>
      <c r="AO149" s="76" t="b">
        <f>IF(K149 = "Lease",+PV(AN149/(AF149/Table3[[#This Row],[Assessed Term]]),AF149,-AI149,0,IF(AE149="Beginning",1,0)))</f>
        <v>0</v>
      </c>
      <c r="AP149" s="69"/>
      <c r="AQ149" s="76">
        <f t="shared" si="20"/>
        <v>0</v>
      </c>
      <c r="AR149" s="72"/>
    </row>
    <row r="150" spans="1:44">
      <c r="A150" s="69"/>
      <c r="B150" s="70"/>
      <c r="C150" s="69"/>
      <c r="D150" s="69"/>
      <c r="E150" s="69"/>
      <c r="F150" s="69"/>
      <c r="G150" s="69"/>
      <c r="H150" s="69"/>
      <c r="I150" s="69"/>
      <c r="J150" s="69"/>
      <c r="K150" t="str">
        <f t="shared" si="16"/>
        <v>Not a Lease</v>
      </c>
      <c r="L150" s="69"/>
      <c r="M150" s="69"/>
      <c r="N150" s="69"/>
      <c r="O150" s="69"/>
      <c r="P150" s="69"/>
      <c r="Q150" s="69"/>
      <c r="R150" s="69"/>
      <c r="S150" s="69"/>
      <c r="T150" s="69"/>
      <c r="U150" s="69"/>
      <c r="V150" s="69"/>
      <c r="W150" s="69"/>
      <c r="X150" s="69"/>
      <c r="Y150" s="69"/>
      <c r="Z150">
        <f t="shared" si="19"/>
        <v>0</v>
      </c>
      <c r="AA150">
        <f t="shared" si="17"/>
        <v>0</v>
      </c>
      <c r="AB150">
        <f t="shared" si="18"/>
        <v>0</v>
      </c>
      <c r="AC150">
        <f>+IF(Table3[[#This Row],[Do Both Parties have to agree for extension to occur?]]="Yes",0,IF(AND(W150="Yes",Q150="Yes"),IF(R150=X150,R150,MAX(R150,X150)),IF(AND(W150="Yes",OR(Q150="No",Q150="")),X150,IF(AND(OR(W150="No",W150=""),Q150="Yes"),R150,0))))</f>
        <v>0</v>
      </c>
      <c r="AD150" s="69"/>
      <c r="AE150" s="69"/>
      <c r="AF150" t="str">
        <f>IF(AD150="Monthly",Table3[[#This Row],[Assessed Term]]*12,IF(AD150="quarterly",Table3[[#This Row],[Assessed Term]]*4,IF(AD150="annually",Table3[[#This Row],[Assessed Term]]*1,IF(AD150="weekly",Table3[[#This Row],[Assessed Term]]*52,IF(AD150="semiannually",Table3[[#This Row],[Assessed Term]]*2," ")))))</f>
        <v xml:space="preserve"> </v>
      </c>
      <c r="AG150" s="69"/>
      <c r="AH150" s="69"/>
      <c r="AI150" s="73"/>
      <c r="AJ150" s="73"/>
      <c r="AK150" s="73"/>
      <c r="AL150" s="69"/>
      <c r="AM150" s="69"/>
      <c r="AN150" s="120"/>
      <c r="AO150" s="76" t="b">
        <f>IF(K150 = "Lease",+PV(AN150/(AF150/Table3[[#This Row],[Assessed Term]]),AF150,-AI150,0,IF(AE150="Beginning",1,0)))</f>
        <v>0</v>
      </c>
      <c r="AP150" s="69"/>
      <c r="AQ150" s="76">
        <f t="shared" si="20"/>
        <v>0</v>
      </c>
      <c r="AR150" s="72"/>
    </row>
    <row r="151" spans="1:44">
      <c r="A151" s="69"/>
      <c r="B151" s="70"/>
      <c r="C151" s="69"/>
      <c r="D151" s="69"/>
      <c r="E151" s="69"/>
      <c r="F151" s="69"/>
      <c r="G151" s="69"/>
      <c r="H151" s="69"/>
      <c r="I151" s="69"/>
      <c r="J151" s="69"/>
      <c r="K151" t="str">
        <f t="shared" si="16"/>
        <v>Not a Lease</v>
      </c>
      <c r="L151" s="69"/>
      <c r="M151" s="69"/>
      <c r="N151" s="69"/>
      <c r="O151" s="69"/>
      <c r="P151" s="69"/>
      <c r="Q151" s="69"/>
      <c r="R151" s="69"/>
      <c r="S151" s="69"/>
      <c r="T151" s="69"/>
      <c r="U151" s="69"/>
      <c r="V151" s="69"/>
      <c r="W151" s="69"/>
      <c r="X151" s="69"/>
      <c r="Y151" s="69"/>
      <c r="Z151">
        <f t="shared" si="19"/>
        <v>0</v>
      </c>
      <c r="AA151">
        <f t="shared" si="17"/>
        <v>0</v>
      </c>
      <c r="AB151">
        <f t="shared" si="18"/>
        <v>0</v>
      </c>
      <c r="AC151">
        <f>+IF(Table3[[#This Row],[Do Both Parties have to agree for extension to occur?]]="Yes",0,IF(AND(W151="Yes",Q151="Yes"),IF(R151=X151,R151,MAX(R151,X151)),IF(AND(W151="Yes",OR(Q151="No",Q151="")),X151,IF(AND(OR(W151="No",W151=""),Q151="Yes"),R151,0))))</f>
        <v>0</v>
      </c>
      <c r="AD151" s="69"/>
      <c r="AE151" s="69"/>
      <c r="AF151" t="str">
        <f>IF(AD151="Monthly",Table3[[#This Row],[Assessed Term]]*12,IF(AD151="quarterly",Table3[[#This Row],[Assessed Term]]*4,IF(AD151="annually",Table3[[#This Row],[Assessed Term]]*1,IF(AD151="weekly",Table3[[#This Row],[Assessed Term]]*52,IF(AD151="semiannually",Table3[[#This Row],[Assessed Term]]*2," ")))))</f>
        <v xml:space="preserve"> </v>
      </c>
      <c r="AG151" s="69"/>
      <c r="AH151" s="69"/>
      <c r="AI151" s="73"/>
      <c r="AJ151" s="73"/>
      <c r="AK151" s="73"/>
      <c r="AL151" s="69"/>
      <c r="AM151" s="69"/>
      <c r="AN151" s="120"/>
      <c r="AO151" s="76" t="b">
        <f>IF(K151 = "Lease",+PV(AN151/(AF151/Table3[[#This Row],[Assessed Term]]),AF151,-AI151,0,IF(AE151="Beginning",1,0)))</f>
        <v>0</v>
      </c>
      <c r="AP151" s="69"/>
      <c r="AQ151" s="76">
        <f t="shared" si="20"/>
        <v>0</v>
      </c>
      <c r="AR151" s="72"/>
    </row>
    <row r="152" spans="1:44">
      <c r="A152" s="69"/>
      <c r="B152" s="70"/>
      <c r="C152" s="69"/>
      <c r="D152" s="69"/>
      <c r="E152" s="69"/>
      <c r="F152" s="69"/>
      <c r="G152" s="69"/>
      <c r="H152" s="69"/>
      <c r="I152" s="69"/>
      <c r="J152" s="69"/>
      <c r="K152" t="str">
        <f t="shared" si="16"/>
        <v>Not a Lease</v>
      </c>
      <c r="L152" s="69"/>
      <c r="M152" s="69"/>
      <c r="N152" s="69"/>
      <c r="O152" s="69"/>
      <c r="P152" s="69"/>
      <c r="Q152" s="69"/>
      <c r="R152" s="69"/>
      <c r="S152" s="69"/>
      <c r="T152" s="69"/>
      <c r="U152" s="69"/>
      <c r="V152" s="69"/>
      <c r="W152" s="69"/>
      <c r="X152" s="69"/>
      <c r="Y152" s="69"/>
      <c r="Z152">
        <f t="shared" si="19"/>
        <v>0</v>
      </c>
      <c r="AA152">
        <f t="shared" si="17"/>
        <v>0</v>
      </c>
      <c r="AB152">
        <f t="shared" si="18"/>
        <v>0</v>
      </c>
      <c r="AC152">
        <f>+IF(Table3[[#This Row],[Do Both Parties have to agree for extension to occur?]]="Yes",0,IF(AND(W152="Yes",Q152="Yes"),IF(R152=X152,R152,MAX(R152,X152)),IF(AND(W152="Yes",OR(Q152="No",Q152="")),X152,IF(AND(OR(W152="No",W152=""),Q152="Yes"),R152,0))))</f>
        <v>0</v>
      </c>
      <c r="AD152" s="69"/>
      <c r="AE152" s="69"/>
      <c r="AF152" t="str">
        <f>IF(AD152="Monthly",Table3[[#This Row],[Assessed Term]]*12,IF(AD152="quarterly",Table3[[#This Row],[Assessed Term]]*4,IF(AD152="annually",Table3[[#This Row],[Assessed Term]]*1,IF(AD152="weekly",Table3[[#This Row],[Assessed Term]]*52,IF(AD152="semiannually",Table3[[#This Row],[Assessed Term]]*2," ")))))</f>
        <v xml:space="preserve"> </v>
      </c>
      <c r="AG152" s="69"/>
      <c r="AH152" s="69"/>
      <c r="AI152" s="73"/>
      <c r="AJ152" s="73"/>
      <c r="AK152" s="73"/>
      <c r="AL152" s="69"/>
      <c r="AM152" s="69"/>
      <c r="AN152" s="120"/>
      <c r="AO152" s="76" t="b">
        <f>IF(K152 = "Lease",+PV(AN152/(AF152/Table3[[#This Row],[Assessed Term]]),AF152,-AI152,0,IF(AE152="Beginning",1,0)))</f>
        <v>0</v>
      </c>
      <c r="AP152" s="69"/>
      <c r="AQ152" s="76">
        <f t="shared" si="20"/>
        <v>0</v>
      </c>
      <c r="AR152" s="72"/>
    </row>
    <row r="153" spans="1:44">
      <c r="A153" s="69"/>
      <c r="B153" s="70"/>
      <c r="C153" s="69"/>
      <c r="D153" s="69"/>
      <c r="E153" s="69"/>
      <c r="F153" s="69"/>
      <c r="G153" s="69"/>
      <c r="H153" s="69"/>
      <c r="I153" s="69"/>
      <c r="J153" s="69"/>
      <c r="K153" t="str">
        <f t="shared" si="16"/>
        <v>Not a Lease</v>
      </c>
      <c r="L153" s="69"/>
      <c r="M153" s="69"/>
      <c r="N153" s="69"/>
      <c r="O153" s="69"/>
      <c r="P153" s="69"/>
      <c r="Q153" s="69"/>
      <c r="R153" s="69"/>
      <c r="S153" s="69"/>
      <c r="T153" s="69"/>
      <c r="U153" s="69"/>
      <c r="V153" s="69"/>
      <c r="W153" s="69"/>
      <c r="X153" s="69"/>
      <c r="Y153" s="69"/>
      <c r="Z153">
        <f t="shared" si="19"/>
        <v>0</v>
      </c>
      <c r="AA153">
        <f t="shared" si="17"/>
        <v>0</v>
      </c>
      <c r="AB153">
        <f t="shared" si="18"/>
        <v>0</v>
      </c>
      <c r="AC153">
        <f>+IF(Table3[[#This Row],[Do Both Parties have to agree for extension to occur?]]="Yes",0,IF(AND(W153="Yes",Q153="Yes"),IF(R153=X153,R153,MAX(R153,X153)),IF(AND(W153="Yes",OR(Q153="No",Q153="")),X153,IF(AND(OR(W153="No",W153=""),Q153="Yes"),R153,0))))</f>
        <v>0</v>
      </c>
      <c r="AD153" s="69"/>
      <c r="AE153" s="69"/>
      <c r="AF153" t="str">
        <f>IF(AD153="Monthly",Table3[[#This Row],[Assessed Term]]*12,IF(AD153="quarterly",Table3[[#This Row],[Assessed Term]]*4,IF(AD153="annually",Table3[[#This Row],[Assessed Term]]*1,IF(AD153="weekly",Table3[[#This Row],[Assessed Term]]*52,IF(AD153="semiannually",Table3[[#This Row],[Assessed Term]]*2," ")))))</f>
        <v xml:space="preserve"> </v>
      </c>
      <c r="AG153" s="69"/>
      <c r="AH153" s="69"/>
      <c r="AI153" s="73"/>
      <c r="AJ153" s="73"/>
      <c r="AK153" s="73"/>
      <c r="AL153" s="69"/>
      <c r="AM153" s="69"/>
      <c r="AN153" s="120"/>
      <c r="AO153" s="76" t="b">
        <f>IF(K153 = "Lease",+PV(AN153/(AF153/Table3[[#This Row],[Assessed Term]]),AF153,-AI153,0,IF(AE153="Beginning",1,0)))</f>
        <v>0</v>
      </c>
      <c r="AP153" s="69"/>
      <c r="AQ153" s="76">
        <f t="shared" si="20"/>
        <v>0</v>
      </c>
      <c r="AR153" s="72"/>
    </row>
    <row r="154" spans="1:44">
      <c r="A154" s="69"/>
      <c r="B154" s="70"/>
      <c r="C154" s="69"/>
      <c r="D154" s="69"/>
      <c r="E154" s="69"/>
      <c r="F154" s="69"/>
      <c r="G154" s="69"/>
      <c r="H154" s="69"/>
      <c r="I154" s="69"/>
      <c r="J154" s="69"/>
      <c r="K154" t="str">
        <f t="shared" si="16"/>
        <v>Not a Lease</v>
      </c>
      <c r="L154" s="69"/>
      <c r="M154" s="69"/>
      <c r="N154" s="69"/>
      <c r="O154" s="69"/>
      <c r="P154" s="69"/>
      <c r="Q154" s="69"/>
      <c r="R154" s="69"/>
      <c r="S154" s="69"/>
      <c r="T154" s="69"/>
      <c r="U154" s="69"/>
      <c r="V154" s="69"/>
      <c r="W154" s="69"/>
      <c r="X154" s="69"/>
      <c r="Y154" s="69"/>
      <c r="Z154">
        <f t="shared" si="19"/>
        <v>0</v>
      </c>
      <c r="AA154">
        <f t="shared" si="17"/>
        <v>0</v>
      </c>
      <c r="AB154">
        <f t="shared" si="18"/>
        <v>0</v>
      </c>
      <c r="AC154">
        <f>+IF(Table3[[#This Row],[Do Both Parties have to agree for extension to occur?]]="Yes",0,IF(AND(W154="Yes",Q154="Yes"),IF(R154=X154,R154,MAX(R154,X154)),IF(AND(W154="Yes",OR(Q154="No",Q154="")),X154,IF(AND(OR(W154="No",W154=""),Q154="Yes"),R154,0))))</f>
        <v>0</v>
      </c>
      <c r="AD154" s="69"/>
      <c r="AE154" s="69"/>
      <c r="AF154" t="str">
        <f>IF(AD154="Monthly",Table3[[#This Row],[Assessed Term]]*12,IF(AD154="quarterly",Table3[[#This Row],[Assessed Term]]*4,IF(AD154="annually",Table3[[#This Row],[Assessed Term]]*1,IF(AD154="weekly",Table3[[#This Row],[Assessed Term]]*52,IF(AD154="semiannually",Table3[[#This Row],[Assessed Term]]*2," ")))))</f>
        <v xml:space="preserve"> </v>
      </c>
      <c r="AG154" s="69"/>
      <c r="AH154" s="69"/>
      <c r="AI154" s="73"/>
      <c r="AJ154" s="73"/>
      <c r="AK154" s="73"/>
      <c r="AL154" s="69"/>
      <c r="AM154" s="69"/>
      <c r="AN154" s="120"/>
      <c r="AO154" s="76" t="b">
        <f>IF(K154 = "Lease",+PV(AN154/(AF154/Table3[[#This Row],[Assessed Term]]),AF154,-AI154,0,IF(AE154="Beginning",1,0)))</f>
        <v>0</v>
      </c>
      <c r="AP154" s="69"/>
      <c r="AQ154" s="76">
        <f t="shared" si="20"/>
        <v>0</v>
      </c>
      <c r="AR154" s="72"/>
    </row>
    <row r="155" spans="1:44">
      <c r="A155" s="69"/>
      <c r="B155" s="70"/>
      <c r="C155" s="69"/>
      <c r="D155" s="69"/>
      <c r="E155" s="69"/>
      <c r="F155" s="69"/>
      <c r="G155" s="69"/>
      <c r="H155" s="69"/>
      <c r="I155" s="69"/>
      <c r="J155" s="69"/>
      <c r="K155" t="str">
        <f t="shared" si="16"/>
        <v>Not a Lease</v>
      </c>
      <c r="L155" s="69"/>
      <c r="M155" s="69"/>
      <c r="N155" s="69"/>
      <c r="O155" s="69"/>
      <c r="P155" s="69"/>
      <c r="Q155" s="69"/>
      <c r="R155" s="69"/>
      <c r="S155" s="69"/>
      <c r="T155" s="69"/>
      <c r="U155" s="69"/>
      <c r="V155" s="69"/>
      <c r="W155" s="69"/>
      <c r="X155" s="69"/>
      <c r="Y155" s="69"/>
      <c r="Z155">
        <f t="shared" si="19"/>
        <v>0</v>
      </c>
      <c r="AA155">
        <f t="shared" si="17"/>
        <v>0</v>
      </c>
      <c r="AB155">
        <f t="shared" si="18"/>
        <v>0</v>
      </c>
      <c r="AC155">
        <f>+IF(Table3[[#This Row],[Do Both Parties have to agree for extension to occur?]]="Yes",0,IF(AND(W155="Yes",Q155="Yes"),IF(R155=X155,R155,MAX(R155,X155)),IF(AND(W155="Yes",OR(Q155="No",Q155="")),X155,IF(AND(OR(W155="No",W155=""),Q155="Yes"),R155,0))))</f>
        <v>0</v>
      </c>
      <c r="AD155" s="69"/>
      <c r="AE155" s="69"/>
      <c r="AF155" t="str">
        <f>IF(AD155="Monthly",Table3[[#This Row],[Assessed Term]]*12,IF(AD155="quarterly",Table3[[#This Row],[Assessed Term]]*4,IF(AD155="annually",Table3[[#This Row],[Assessed Term]]*1,IF(AD155="weekly",Table3[[#This Row],[Assessed Term]]*52,IF(AD155="semiannually",Table3[[#This Row],[Assessed Term]]*2," ")))))</f>
        <v xml:space="preserve"> </v>
      </c>
      <c r="AG155" s="69"/>
      <c r="AH155" s="69"/>
      <c r="AI155" s="73"/>
      <c r="AJ155" s="73"/>
      <c r="AK155" s="73"/>
      <c r="AL155" s="69"/>
      <c r="AM155" s="69"/>
      <c r="AN155" s="120"/>
      <c r="AO155" s="76" t="b">
        <f>IF(K155 = "Lease",+PV(AN155/(AF155/Table3[[#This Row],[Assessed Term]]),AF155,-AI155,0,IF(AE155="Beginning",1,0)))</f>
        <v>0</v>
      </c>
      <c r="AP155" s="69"/>
      <c r="AQ155" s="76">
        <f t="shared" si="20"/>
        <v>0</v>
      </c>
      <c r="AR155" s="72"/>
    </row>
    <row r="156" spans="1:44">
      <c r="A156" s="69"/>
      <c r="B156" s="70"/>
      <c r="C156" s="69"/>
      <c r="D156" s="69"/>
      <c r="E156" s="69"/>
      <c r="F156" s="69"/>
      <c r="G156" s="69"/>
      <c r="H156" s="69"/>
      <c r="I156" s="69"/>
      <c r="J156" s="69"/>
      <c r="K156" t="str">
        <f t="shared" si="16"/>
        <v>Not a Lease</v>
      </c>
      <c r="L156" s="69"/>
      <c r="M156" s="69"/>
      <c r="N156" s="69"/>
      <c r="O156" s="69"/>
      <c r="P156" s="69"/>
      <c r="Q156" s="69"/>
      <c r="R156" s="69"/>
      <c r="S156" s="69"/>
      <c r="T156" s="69"/>
      <c r="U156" s="69"/>
      <c r="V156" s="69"/>
      <c r="W156" s="69"/>
      <c r="X156" s="69"/>
      <c r="Y156" s="69"/>
      <c r="Z156">
        <f t="shared" si="19"/>
        <v>0</v>
      </c>
      <c r="AA156">
        <f t="shared" si="17"/>
        <v>0</v>
      </c>
      <c r="AB156">
        <f t="shared" si="18"/>
        <v>0</v>
      </c>
      <c r="AC156">
        <f>+IF(Table3[[#This Row],[Do Both Parties have to agree for extension to occur?]]="Yes",0,IF(AND(W156="Yes",Q156="Yes"),IF(R156=X156,R156,MAX(R156,X156)),IF(AND(W156="Yes",OR(Q156="No",Q156="")),X156,IF(AND(OR(W156="No",W156=""),Q156="Yes"),R156,0))))</f>
        <v>0</v>
      </c>
      <c r="AD156" s="69"/>
      <c r="AE156" s="69"/>
      <c r="AF156" t="str">
        <f>IF(AD156="Monthly",Table3[[#This Row],[Assessed Term]]*12,IF(AD156="quarterly",Table3[[#This Row],[Assessed Term]]*4,IF(AD156="annually",Table3[[#This Row],[Assessed Term]]*1,IF(AD156="weekly",Table3[[#This Row],[Assessed Term]]*52,IF(AD156="semiannually",Table3[[#This Row],[Assessed Term]]*2," ")))))</f>
        <v xml:space="preserve"> </v>
      </c>
      <c r="AG156" s="69"/>
      <c r="AH156" s="69"/>
      <c r="AI156" s="73"/>
      <c r="AJ156" s="73"/>
      <c r="AK156" s="73"/>
      <c r="AL156" s="69"/>
      <c r="AM156" s="69"/>
      <c r="AN156" s="120"/>
      <c r="AO156" s="76" t="b">
        <f>IF(K156 = "Lease",+PV(AN156/(AF156/Table3[[#This Row],[Assessed Term]]),AF156,-AI156,0,IF(AE156="Beginning",1,0)))</f>
        <v>0</v>
      </c>
      <c r="AP156" s="69"/>
      <c r="AQ156" s="76">
        <f t="shared" si="20"/>
        <v>0</v>
      </c>
      <c r="AR156" s="72"/>
    </row>
    <row r="157" spans="1:44">
      <c r="A157" s="69"/>
      <c r="B157" s="70"/>
      <c r="C157" s="69"/>
      <c r="D157" s="69"/>
      <c r="E157" s="69"/>
      <c r="F157" s="69"/>
      <c r="G157" s="69"/>
      <c r="H157" s="69"/>
      <c r="I157" s="69"/>
      <c r="J157" s="69"/>
      <c r="K157" t="str">
        <f t="shared" si="16"/>
        <v>Not a Lease</v>
      </c>
      <c r="L157" s="69"/>
      <c r="M157" s="69"/>
      <c r="N157" s="69"/>
      <c r="O157" s="69"/>
      <c r="P157" s="69"/>
      <c r="Q157" s="69"/>
      <c r="R157" s="69"/>
      <c r="S157" s="69"/>
      <c r="T157" s="69"/>
      <c r="U157" s="69"/>
      <c r="V157" s="69"/>
      <c r="W157" s="69"/>
      <c r="X157" s="69"/>
      <c r="Y157" s="69"/>
      <c r="Z157">
        <f t="shared" si="19"/>
        <v>0</v>
      </c>
      <c r="AA157">
        <f t="shared" si="17"/>
        <v>0</v>
      </c>
      <c r="AB157">
        <f t="shared" si="18"/>
        <v>0</v>
      </c>
      <c r="AC157">
        <f>+IF(Table3[[#This Row],[Do Both Parties have to agree for extension to occur?]]="Yes",0,IF(AND(W157="Yes",Q157="Yes"),IF(R157=X157,R157,MAX(R157,X157)),IF(AND(W157="Yes",OR(Q157="No",Q157="")),X157,IF(AND(OR(W157="No",W157=""),Q157="Yes"),R157,0))))</f>
        <v>0</v>
      </c>
      <c r="AD157" s="69"/>
      <c r="AE157" s="69"/>
      <c r="AF157" t="str">
        <f>IF(AD157="Monthly",Table3[[#This Row],[Assessed Term]]*12,IF(AD157="quarterly",Table3[[#This Row],[Assessed Term]]*4,IF(AD157="annually",Table3[[#This Row],[Assessed Term]]*1,IF(AD157="weekly",Table3[[#This Row],[Assessed Term]]*52,IF(AD157="semiannually",Table3[[#This Row],[Assessed Term]]*2," ")))))</f>
        <v xml:space="preserve"> </v>
      </c>
      <c r="AG157" s="69"/>
      <c r="AH157" s="69"/>
      <c r="AI157" s="73"/>
      <c r="AJ157" s="73"/>
      <c r="AK157" s="73"/>
      <c r="AL157" s="69"/>
      <c r="AM157" s="69"/>
      <c r="AN157" s="120"/>
      <c r="AO157" s="76" t="b">
        <f>IF(K157 = "Lease",+PV(AN157/(AF157/Table3[[#This Row],[Assessed Term]]),AF157,-AI157,0,IF(AE157="Beginning",1,0)))</f>
        <v>0</v>
      </c>
      <c r="AP157" s="69"/>
      <c r="AQ157" s="76">
        <f t="shared" si="20"/>
        <v>0</v>
      </c>
      <c r="AR157" s="72"/>
    </row>
    <row r="158" spans="1:44">
      <c r="A158" s="69"/>
      <c r="B158" s="70"/>
      <c r="C158" s="69"/>
      <c r="D158" s="69"/>
      <c r="E158" s="69"/>
      <c r="F158" s="69"/>
      <c r="G158" s="69"/>
      <c r="H158" s="69"/>
      <c r="I158" s="69"/>
      <c r="J158" s="69"/>
      <c r="K158" t="str">
        <f t="shared" si="16"/>
        <v>Not a Lease</v>
      </c>
      <c r="L158" s="69"/>
      <c r="M158" s="69"/>
      <c r="N158" s="69"/>
      <c r="O158" s="69"/>
      <c r="P158" s="69"/>
      <c r="Q158" s="69"/>
      <c r="R158" s="69"/>
      <c r="S158" s="69"/>
      <c r="T158" s="69"/>
      <c r="U158" s="69"/>
      <c r="V158" s="69"/>
      <c r="W158" s="69"/>
      <c r="X158" s="69"/>
      <c r="Y158" s="69"/>
      <c r="Z158">
        <f t="shared" si="19"/>
        <v>0</v>
      </c>
      <c r="AA158">
        <f t="shared" si="17"/>
        <v>0</v>
      </c>
      <c r="AB158">
        <f t="shared" si="18"/>
        <v>0</v>
      </c>
      <c r="AC158">
        <f>+IF(Table3[[#This Row],[Do Both Parties have to agree for extension to occur?]]="Yes",0,IF(AND(W158="Yes",Q158="Yes"),IF(R158=X158,R158,MAX(R158,X158)),IF(AND(W158="Yes",OR(Q158="No",Q158="")),X158,IF(AND(OR(W158="No",W158=""),Q158="Yes"),R158,0))))</f>
        <v>0</v>
      </c>
      <c r="AD158" s="69"/>
      <c r="AE158" s="69"/>
      <c r="AF158" t="str">
        <f>IF(AD158="Monthly",Table3[[#This Row],[Assessed Term]]*12,IF(AD158="quarterly",Table3[[#This Row],[Assessed Term]]*4,IF(AD158="annually",Table3[[#This Row],[Assessed Term]]*1,IF(AD158="weekly",Table3[[#This Row],[Assessed Term]]*52,IF(AD158="semiannually",Table3[[#This Row],[Assessed Term]]*2," ")))))</f>
        <v xml:space="preserve"> </v>
      </c>
      <c r="AG158" s="69"/>
      <c r="AH158" s="69"/>
      <c r="AI158" s="73"/>
      <c r="AJ158" s="73"/>
      <c r="AK158" s="73"/>
      <c r="AL158" s="69"/>
      <c r="AM158" s="69"/>
      <c r="AN158" s="120"/>
      <c r="AO158" s="76" t="b">
        <f>IF(K158 = "Lease",+PV(AN158/(AF158/Table3[[#This Row],[Assessed Term]]),AF158,-AI158,0,IF(AE158="Beginning",1,0)))</f>
        <v>0</v>
      </c>
      <c r="AP158" s="69"/>
      <c r="AQ158" s="76">
        <f t="shared" si="20"/>
        <v>0</v>
      </c>
      <c r="AR158" s="72"/>
    </row>
    <row r="159" spans="1:44">
      <c r="A159" s="69"/>
      <c r="B159" s="70"/>
      <c r="C159" s="69"/>
      <c r="D159" s="69"/>
      <c r="E159" s="69"/>
      <c r="F159" s="69"/>
      <c r="G159" s="69"/>
      <c r="H159" s="69"/>
      <c r="I159" s="69"/>
      <c r="J159" s="69"/>
      <c r="K159" t="str">
        <f t="shared" si="16"/>
        <v>Not a Lease</v>
      </c>
      <c r="L159" s="69"/>
      <c r="M159" s="69"/>
      <c r="N159" s="69"/>
      <c r="O159" s="69"/>
      <c r="P159" s="69"/>
      <c r="Q159" s="69"/>
      <c r="R159" s="69"/>
      <c r="S159" s="69"/>
      <c r="T159" s="69"/>
      <c r="U159" s="69"/>
      <c r="V159" s="69"/>
      <c r="W159" s="69"/>
      <c r="X159" s="69"/>
      <c r="Y159" s="69"/>
      <c r="Z159">
        <f t="shared" si="19"/>
        <v>0</v>
      </c>
      <c r="AA159">
        <f t="shared" si="17"/>
        <v>0</v>
      </c>
      <c r="AB159">
        <f t="shared" si="18"/>
        <v>0</v>
      </c>
      <c r="AC159">
        <f>+IF(Table3[[#This Row],[Do Both Parties have to agree for extension to occur?]]="Yes",0,IF(AND(W159="Yes",Q159="Yes"),IF(R159=X159,R159,MAX(R159,X159)),IF(AND(W159="Yes",OR(Q159="No",Q159="")),X159,IF(AND(OR(W159="No",W159=""),Q159="Yes"),R159,0))))</f>
        <v>0</v>
      </c>
      <c r="AD159" s="69"/>
      <c r="AE159" s="69"/>
      <c r="AF159" t="str">
        <f>IF(AD159="Monthly",Table3[[#This Row],[Assessed Term]]*12,IF(AD159="quarterly",Table3[[#This Row],[Assessed Term]]*4,IF(AD159="annually",Table3[[#This Row],[Assessed Term]]*1,IF(AD159="weekly",Table3[[#This Row],[Assessed Term]]*52,IF(AD159="semiannually",Table3[[#This Row],[Assessed Term]]*2," ")))))</f>
        <v xml:space="preserve"> </v>
      </c>
      <c r="AG159" s="69"/>
      <c r="AH159" s="69"/>
      <c r="AI159" s="73"/>
      <c r="AJ159" s="73"/>
      <c r="AK159" s="73"/>
      <c r="AL159" s="69"/>
      <c r="AM159" s="69"/>
      <c r="AN159" s="120"/>
      <c r="AO159" s="76" t="b">
        <f>IF(K159 = "Lease",+PV(AN159/(AF159/Table3[[#This Row],[Assessed Term]]),AF159,-AI159,0,IF(AE159="Beginning",1,0)))</f>
        <v>0</v>
      </c>
      <c r="AP159" s="69"/>
      <c r="AQ159" s="76">
        <f t="shared" si="20"/>
        <v>0</v>
      </c>
      <c r="AR159" s="72"/>
    </row>
    <row r="160" spans="1:44">
      <c r="A160" s="69"/>
      <c r="B160" s="70"/>
      <c r="C160" s="69"/>
      <c r="D160" s="69"/>
      <c r="E160" s="69"/>
      <c r="F160" s="69"/>
      <c r="G160" s="69"/>
      <c r="H160" s="69"/>
      <c r="I160" s="69"/>
      <c r="J160" s="69"/>
      <c r="K160" t="str">
        <f t="shared" si="16"/>
        <v>Not a Lease</v>
      </c>
      <c r="L160" s="69"/>
      <c r="M160" s="69"/>
      <c r="N160" s="69"/>
      <c r="O160" s="69"/>
      <c r="P160" s="69"/>
      <c r="Q160" s="69"/>
      <c r="R160" s="69"/>
      <c r="S160" s="69"/>
      <c r="T160" s="69"/>
      <c r="U160" s="69"/>
      <c r="V160" s="69"/>
      <c r="W160" s="69"/>
      <c r="X160" s="69"/>
      <c r="Y160" s="69"/>
      <c r="Z160">
        <f t="shared" si="19"/>
        <v>0</v>
      </c>
      <c r="AA160">
        <f t="shared" si="17"/>
        <v>0</v>
      </c>
      <c r="AB160">
        <f t="shared" si="18"/>
        <v>0</v>
      </c>
      <c r="AC160">
        <f>+IF(Table3[[#This Row],[Do Both Parties have to agree for extension to occur?]]="Yes",0,IF(AND(W160="Yes",Q160="Yes"),IF(R160=X160,R160,MAX(R160,X160)),IF(AND(W160="Yes",OR(Q160="No",Q160="")),X160,IF(AND(OR(W160="No",W160=""),Q160="Yes"),R160,0))))</f>
        <v>0</v>
      </c>
      <c r="AD160" s="69"/>
      <c r="AE160" s="69"/>
      <c r="AF160" t="str">
        <f>IF(AD160="Monthly",Table3[[#This Row],[Assessed Term]]*12,IF(AD160="quarterly",Table3[[#This Row],[Assessed Term]]*4,IF(AD160="annually",Table3[[#This Row],[Assessed Term]]*1,IF(AD160="weekly",Table3[[#This Row],[Assessed Term]]*52,IF(AD160="semiannually",Table3[[#This Row],[Assessed Term]]*2," ")))))</f>
        <v xml:space="preserve"> </v>
      </c>
      <c r="AG160" s="69"/>
      <c r="AH160" s="69"/>
      <c r="AI160" s="73"/>
      <c r="AJ160" s="73"/>
      <c r="AK160" s="73"/>
      <c r="AL160" s="69"/>
      <c r="AM160" s="69"/>
      <c r="AN160" s="120"/>
      <c r="AO160" s="76" t="b">
        <f>IF(K160 = "Lease",+PV(AN160/(AF160/Table3[[#This Row],[Assessed Term]]),AF160,-AI160,0,IF(AE160="Beginning",1,0)))</f>
        <v>0</v>
      </c>
      <c r="AP160" s="69"/>
      <c r="AQ160" s="76">
        <f t="shared" si="20"/>
        <v>0</v>
      </c>
      <c r="AR160" s="72"/>
    </row>
    <row r="161" spans="1:44">
      <c r="A161" s="69"/>
      <c r="B161" s="70"/>
      <c r="C161" s="69"/>
      <c r="D161" s="69"/>
      <c r="E161" s="69"/>
      <c r="F161" s="69"/>
      <c r="G161" s="69"/>
      <c r="H161" s="69"/>
      <c r="I161" s="69"/>
      <c r="J161" s="69"/>
      <c r="K161" t="str">
        <f t="shared" si="16"/>
        <v>Not a Lease</v>
      </c>
      <c r="L161" s="69"/>
      <c r="M161" s="69"/>
      <c r="N161" s="69"/>
      <c r="O161" s="69"/>
      <c r="P161" s="69"/>
      <c r="Q161" s="69"/>
      <c r="R161" s="69"/>
      <c r="S161" s="69"/>
      <c r="T161" s="69"/>
      <c r="U161" s="69"/>
      <c r="V161" s="69"/>
      <c r="W161" s="69"/>
      <c r="X161" s="69"/>
      <c r="Y161" s="69"/>
      <c r="Z161">
        <f t="shared" si="19"/>
        <v>0</v>
      </c>
      <c r="AA161">
        <f t="shared" si="17"/>
        <v>0</v>
      </c>
      <c r="AB161">
        <f t="shared" si="18"/>
        <v>0</v>
      </c>
      <c r="AC161">
        <f>+IF(Table3[[#This Row],[Do Both Parties have to agree for extension to occur?]]="Yes",0,IF(AND(W161="Yes",Q161="Yes"),IF(R161=X161,R161,MAX(R161,X161)),IF(AND(W161="Yes",OR(Q161="No",Q161="")),X161,IF(AND(OR(W161="No",W161=""),Q161="Yes"),R161,0))))</f>
        <v>0</v>
      </c>
      <c r="AD161" s="69"/>
      <c r="AE161" s="69"/>
      <c r="AF161" t="str">
        <f>IF(AD161="Monthly",Table3[[#This Row],[Assessed Term]]*12,IF(AD161="quarterly",Table3[[#This Row],[Assessed Term]]*4,IF(AD161="annually",Table3[[#This Row],[Assessed Term]]*1,IF(AD161="weekly",Table3[[#This Row],[Assessed Term]]*52,IF(AD161="semiannually",Table3[[#This Row],[Assessed Term]]*2," ")))))</f>
        <v xml:space="preserve"> </v>
      </c>
      <c r="AG161" s="69"/>
      <c r="AH161" s="69"/>
      <c r="AI161" s="73"/>
      <c r="AJ161" s="73"/>
      <c r="AK161" s="73"/>
      <c r="AL161" s="69"/>
      <c r="AM161" s="69"/>
      <c r="AN161" s="120"/>
      <c r="AO161" s="76" t="b">
        <f>IF(K161 = "Lease",+PV(AN161/(AF161/Table3[[#This Row],[Assessed Term]]),AF161,-AI161,0,IF(AE161="Beginning",1,0)))</f>
        <v>0</v>
      </c>
      <c r="AP161" s="69"/>
      <c r="AQ161" s="76">
        <f t="shared" si="20"/>
        <v>0</v>
      </c>
      <c r="AR161" s="72"/>
    </row>
    <row r="162" spans="1:44">
      <c r="A162" s="69"/>
      <c r="B162" s="70"/>
      <c r="C162" s="69"/>
      <c r="D162" s="69"/>
      <c r="E162" s="69"/>
      <c r="F162" s="69"/>
      <c r="G162" s="69"/>
      <c r="H162" s="69"/>
      <c r="I162" s="69"/>
      <c r="J162" s="69"/>
      <c r="K162" t="str">
        <f t="shared" si="16"/>
        <v>Not a Lease</v>
      </c>
      <c r="L162" s="69"/>
      <c r="M162" s="69"/>
      <c r="N162" s="69"/>
      <c r="O162" s="69"/>
      <c r="P162" s="69"/>
      <c r="Q162" s="69"/>
      <c r="R162" s="69"/>
      <c r="S162" s="69"/>
      <c r="T162" s="69"/>
      <c r="U162" s="69"/>
      <c r="V162" s="69"/>
      <c r="W162" s="69"/>
      <c r="X162" s="69"/>
      <c r="Y162" s="69"/>
      <c r="Z162">
        <f t="shared" si="19"/>
        <v>0</v>
      </c>
      <c r="AA162">
        <f t="shared" si="17"/>
        <v>0</v>
      </c>
      <c r="AB162">
        <f t="shared" si="18"/>
        <v>0</v>
      </c>
      <c r="AC162">
        <f>+IF(Table3[[#This Row],[Do Both Parties have to agree for extension to occur?]]="Yes",0,IF(AND(W162="Yes",Q162="Yes"),IF(R162=X162,R162,MAX(R162,X162)),IF(AND(W162="Yes",OR(Q162="No",Q162="")),X162,IF(AND(OR(W162="No",W162=""),Q162="Yes"),R162,0))))</f>
        <v>0</v>
      </c>
      <c r="AD162" s="69"/>
      <c r="AE162" s="69"/>
      <c r="AF162" t="str">
        <f>IF(AD162="Monthly",Table3[[#This Row],[Assessed Term]]*12,IF(AD162="quarterly",Table3[[#This Row],[Assessed Term]]*4,IF(AD162="annually",Table3[[#This Row],[Assessed Term]]*1,IF(AD162="weekly",Table3[[#This Row],[Assessed Term]]*52,IF(AD162="semiannually",Table3[[#This Row],[Assessed Term]]*2," ")))))</f>
        <v xml:space="preserve"> </v>
      </c>
      <c r="AG162" s="69"/>
      <c r="AH162" s="69"/>
      <c r="AI162" s="73"/>
      <c r="AJ162" s="73"/>
      <c r="AK162" s="73"/>
      <c r="AL162" s="69"/>
      <c r="AM162" s="69"/>
      <c r="AN162" s="120"/>
      <c r="AO162" s="76" t="b">
        <f>IF(K162 = "Lease",+PV(AN162/(AF162/Table3[[#This Row],[Assessed Term]]),AF162,-AI162,0,IF(AE162="Beginning",1,0)))</f>
        <v>0</v>
      </c>
      <c r="AP162" s="69"/>
      <c r="AQ162" s="76">
        <f t="shared" si="20"/>
        <v>0</v>
      </c>
      <c r="AR162" s="72"/>
    </row>
    <row r="163" spans="1:44">
      <c r="A163" s="69"/>
      <c r="B163" s="70"/>
      <c r="C163" s="69"/>
      <c r="D163" s="69"/>
      <c r="E163" s="69"/>
      <c r="F163" s="69"/>
      <c r="G163" s="69"/>
      <c r="H163" s="69"/>
      <c r="I163" s="69"/>
      <c r="J163" s="69"/>
      <c r="K163" t="str">
        <f t="shared" si="16"/>
        <v>Not a Lease</v>
      </c>
      <c r="L163" s="69"/>
      <c r="M163" s="69"/>
      <c r="N163" s="69"/>
      <c r="O163" s="69"/>
      <c r="P163" s="69"/>
      <c r="Q163" s="69"/>
      <c r="R163" s="69"/>
      <c r="S163" s="69"/>
      <c r="T163" s="69"/>
      <c r="U163" s="69"/>
      <c r="V163" s="69"/>
      <c r="W163" s="69"/>
      <c r="X163" s="69"/>
      <c r="Y163" s="69"/>
      <c r="Z163">
        <f t="shared" si="19"/>
        <v>0</v>
      </c>
      <c r="AA163">
        <f t="shared" si="17"/>
        <v>0</v>
      </c>
      <c r="AB163">
        <f t="shared" si="18"/>
        <v>0</v>
      </c>
      <c r="AC163">
        <f>+IF(Table3[[#This Row],[Do Both Parties have to agree for extension to occur?]]="Yes",0,IF(AND(W163="Yes",Q163="Yes"),IF(R163=X163,R163,MAX(R163,X163)),IF(AND(W163="Yes",OR(Q163="No",Q163="")),X163,IF(AND(OR(W163="No",W163=""),Q163="Yes"),R163,0))))</f>
        <v>0</v>
      </c>
      <c r="AD163" s="69"/>
      <c r="AE163" s="69"/>
      <c r="AF163" t="str">
        <f>IF(AD163="Monthly",Table3[[#This Row],[Assessed Term]]*12,IF(AD163="quarterly",Table3[[#This Row],[Assessed Term]]*4,IF(AD163="annually",Table3[[#This Row],[Assessed Term]]*1,IF(AD163="weekly",Table3[[#This Row],[Assessed Term]]*52,IF(AD163="semiannually",Table3[[#This Row],[Assessed Term]]*2," ")))))</f>
        <v xml:space="preserve"> </v>
      </c>
      <c r="AG163" s="69"/>
      <c r="AH163" s="69"/>
      <c r="AI163" s="73"/>
      <c r="AJ163" s="73"/>
      <c r="AK163" s="73"/>
      <c r="AL163" s="69"/>
      <c r="AM163" s="69"/>
      <c r="AN163" s="120"/>
      <c r="AO163" s="76" t="b">
        <f>IF(K163 = "Lease",+PV(AN163/(AF163/Table3[[#This Row],[Assessed Term]]),AF163,-AI163,0,IF(AE163="Beginning",1,0)))</f>
        <v>0</v>
      </c>
      <c r="AP163" s="69"/>
      <c r="AQ163" s="76">
        <f t="shared" si="20"/>
        <v>0</v>
      </c>
      <c r="AR163" s="72"/>
    </row>
    <row r="164" spans="1:44">
      <c r="A164" s="69"/>
      <c r="B164" s="70"/>
      <c r="C164" s="69"/>
      <c r="D164" s="69"/>
      <c r="E164" s="69"/>
      <c r="F164" s="69"/>
      <c r="G164" s="69"/>
      <c r="H164" s="69"/>
      <c r="I164" s="69"/>
      <c r="J164" s="69"/>
      <c r="K164" t="str">
        <f t="shared" si="16"/>
        <v>Not a Lease</v>
      </c>
      <c r="L164" s="69"/>
      <c r="M164" s="69"/>
      <c r="N164" s="69"/>
      <c r="O164" s="69"/>
      <c r="P164" s="69"/>
      <c r="Q164" s="69"/>
      <c r="R164" s="69"/>
      <c r="S164" s="69"/>
      <c r="T164" s="69"/>
      <c r="U164" s="69"/>
      <c r="V164" s="69"/>
      <c r="W164" s="69"/>
      <c r="X164" s="69"/>
      <c r="Y164" s="69"/>
      <c r="Z164">
        <f t="shared" si="19"/>
        <v>0</v>
      </c>
      <c r="AA164">
        <f t="shared" si="17"/>
        <v>0</v>
      </c>
      <c r="AB164">
        <f t="shared" si="18"/>
        <v>0</v>
      </c>
      <c r="AC164">
        <f>+IF(Table3[[#This Row],[Do Both Parties have to agree for extension to occur?]]="Yes",0,IF(AND(W164="Yes",Q164="Yes"),IF(R164=X164,R164,MAX(R164,X164)),IF(AND(W164="Yes",OR(Q164="No",Q164="")),X164,IF(AND(OR(W164="No",W164=""),Q164="Yes"),R164,0))))</f>
        <v>0</v>
      </c>
      <c r="AD164" s="69"/>
      <c r="AE164" s="69"/>
      <c r="AF164" t="str">
        <f>IF(AD164="Monthly",Table3[[#This Row],[Assessed Term]]*12,IF(AD164="quarterly",Table3[[#This Row],[Assessed Term]]*4,IF(AD164="annually",Table3[[#This Row],[Assessed Term]]*1,IF(AD164="weekly",Table3[[#This Row],[Assessed Term]]*52,IF(AD164="semiannually",Table3[[#This Row],[Assessed Term]]*2," ")))))</f>
        <v xml:space="preserve"> </v>
      </c>
      <c r="AG164" s="69"/>
      <c r="AH164" s="69"/>
      <c r="AI164" s="73"/>
      <c r="AJ164" s="73"/>
      <c r="AK164" s="73"/>
      <c r="AL164" s="69"/>
      <c r="AM164" s="69"/>
      <c r="AN164" s="120"/>
      <c r="AO164" s="76" t="b">
        <f>IF(K164 = "Lease",+PV(AN164/(AF164/Table3[[#This Row],[Assessed Term]]),AF164,-AI164,0,IF(AE164="Beginning",1,0)))</f>
        <v>0</v>
      </c>
      <c r="AP164" s="69"/>
      <c r="AQ164" s="76">
        <f t="shared" si="20"/>
        <v>0</v>
      </c>
      <c r="AR164" s="72"/>
    </row>
    <row r="165" spans="1:44">
      <c r="A165" s="69"/>
      <c r="B165" s="70"/>
      <c r="C165" s="69"/>
      <c r="D165" s="69"/>
      <c r="E165" s="69"/>
      <c r="F165" s="69"/>
      <c r="G165" s="69"/>
      <c r="H165" s="69"/>
      <c r="I165" s="69"/>
      <c r="J165" s="69"/>
      <c r="K165" t="str">
        <f t="shared" si="16"/>
        <v>Not a Lease</v>
      </c>
      <c r="L165" s="69"/>
      <c r="M165" s="69"/>
      <c r="N165" s="69"/>
      <c r="O165" s="69"/>
      <c r="P165" s="69"/>
      <c r="Q165" s="69"/>
      <c r="R165" s="69"/>
      <c r="S165" s="69"/>
      <c r="T165" s="69"/>
      <c r="U165" s="69"/>
      <c r="V165" s="69"/>
      <c r="W165" s="69"/>
      <c r="X165" s="69"/>
      <c r="Y165" s="69"/>
      <c r="Z165">
        <f t="shared" si="19"/>
        <v>0</v>
      </c>
      <c r="AA165">
        <f t="shared" si="17"/>
        <v>0</v>
      </c>
      <c r="AB165">
        <f t="shared" si="18"/>
        <v>0</v>
      </c>
      <c r="AC165">
        <f>+IF(Table3[[#This Row],[Do Both Parties have to agree for extension to occur?]]="Yes",0,IF(AND(W165="Yes",Q165="Yes"),IF(R165=X165,R165,MAX(R165,X165)),IF(AND(W165="Yes",OR(Q165="No",Q165="")),X165,IF(AND(OR(W165="No",W165=""),Q165="Yes"),R165,0))))</f>
        <v>0</v>
      </c>
      <c r="AD165" s="69"/>
      <c r="AE165" s="69"/>
      <c r="AF165" t="str">
        <f>IF(AD165="Monthly",Table3[[#This Row],[Assessed Term]]*12,IF(AD165="quarterly",Table3[[#This Row],[Assessed Term]]*4,IF(AD165="annually",Table3[[#This Row],[Assessed Term]]*1,IF(AD165="weekly",Table3[[#This Row],[Assessed Term]]*52,IF(AD165="semiannually",Table3[[#This Row],[Assessed Term]]*2," ")))))</f>
        <v xml:space="preserve"> </v>
      </c>
      <c r="AG165" s="69"/>
      <c r="AH165" s="69"/>
      <c r="AI165" s="73"/>
      <c r="AJ165" s="73"/>
      <c r="AK165" s="73"/>
      <c r="AL165" s="69"/>
      <c r="AM165" s="69"/>
      <c r="AN165" s="120"/>
      <c r="AO165" s="76" t="b">
        <f>IF(K165 = "Lease",+PV(AN165/(AF165/Table3[[#This Row],[Assessed Term]]),AF165,-AI165,0,IF(AE165="Beginning",1,0)))</f>
        <v>0</v>
      </c>
      <c r="AP165" s="69"/>
      <c r="AQ165" s="76">
        <f t="shared" si="20"/>
        <v>0</v>
      </c>
      <c r="AR165" s="72"/>
    </row>
    <row r="166" spans="1:44">
      <c r="A166" s="69"/>
      <c r="B166" s="70"/>
      <c r="C166" s="69"/>
      <c r="D166" s="69"/>
      <c r="E166" s="69"/>
      <c r="F166" s="69"/>
      <c r="G166" s="69"/>
      <c r="H166" s="69"/>
      <c r="I166" s="69"/>
      <c r="J166" s="69"/>
      <c r="K166" t="str">
        <f t="shared" si="16"/>
        <v>Not a Lease</v>
      </c>
      <c r="L166" s="69"/>
      <c r="M166" s="69"/>
      <c r="N166" s="69"/>
      <c r="O166" s="69"/>
      <c r="P166" s="69"/>
      <c r="Q166" s="69"/>
      <c r="R166" s="69"/>
      <c r="S166" s="69"/>
      <c r="T166" s="69"/>
      <c r="U166" s="69"/>
      <c r="V166" s="69"/>
      <c r="W166" s="69"/>
      <c r="X166" s="69"/>
      <c r="Y166" s="69"/>
      <c r="Z166">
        <f t="shared" si="19"/>
        <v>0</v>
      </c>
      <c r="AA166">
        <f t="shared" si="17"/>
        <v>0</v>
      </c>
      <c r="AB166">
        <f t="shared" si="18"/>
        <v>0</v>
      </c>
      <c r="AC166">
        <f>+IF(Table3[[#This Row],[Do Both Parties have to agree for extension to occur?]]="Yes",0,IF(AND(W166="Yes",Q166="Yes"),IF(R166=X166,R166,MAX(R166,X166)),IF(AND(W166="Yes",OR(Q166="No",Q166="")),X166,IF(AND(OR(W166="No",W166=""),Q166="Yes"),R166,0))))</f>
        <v>0</v>
      </c>
      <c r="AD166" s="69"/>
      <c r="AE166" s="69"/>
      <c r="AF166" t="str">
        <f>IF(AD166="Monthly",Table3[[#This Row],[Assessed Term]]*12,IF(AD166="quarterly",Table3[[#This Row],[Assessed Term]]*4,IF(AD166="annually",Table3[[#This Row],[Assessed Term]]*1,IF(AD166="weekly",Table3[[#This Row],[Assessed Term]]*52,IF(AD166="semiannually",Table3[[#This Row],[Assessed Term]]*2," ")))))</f>
        <v xml:space="preserve"> </v>
      </c>
      <c r="AG166" s="69"/>
      <c r="AH166" s="69"/>
      <c r="AI166" s="73"/>
      <c r="AJ166" s="73"/>
      <c r="AK166" s="73"/>
      <c r="AL166" s="69"/>
      <c r="AM166" s="69"/>
      <c r="AN166" s="120"/>
      <c r="AO166" s="76" t="b">
        <f>IF(K166 = "Lease",+PV(AN166/(AF166/Table3[[#This Row],[Assessed Term]]),AF166,-AI166,0,IF(AE166="Beginning",1,0)))</f>
        <v>0</v>
      </c>
      <c r="AP166" s="69"/>
      <c r="AQ166" s="76">
        <f t="shared" si="20"/>
        <v>0</v>
      </c>
      <c r="AR166" s="72"/>
    </row>
    <row r="167" spans="1:44">
      <c r="A167" s="69"/>
      <c r="B167" s="70"/>
      <c r="C167" s="69"/>
      <c r="D167" s="69"/>
      <c r="E167" s="69"/>
      <c r="F167" s="69"/>
      <c r="G167" s="69"/>
      <c r="H167" s="69"/>
      <c r="I167" s="69"/>
      <c r="J167" s="69"/>
      <c r="K167" t="str">
        <f t="shared" si="16"/>
        <v>Not a Lease</v>
      </c>
      <c r="L167" s="69"/>
      <c r="M167" s="69"/>
      <c r="N167" s="69"/>
      <c r="O167" s="69"/>
      <c r="P167" s="69"/>
      <c r="Q167" s="69"/>
      <c r="R167" s="69"/>
      <c r="S167" s="69"/>
      <c r="T167" s="69"/>
      <c r="U167" s="69"/>
      <c r="V167" s="69"/>
      <c r="W167" s="69"/>
      <c r="X167" s="69"/>
      <c r="Y167" s="69"/>
      <c r="Z167">
        <f t="shared" si="19"/>
        <v>0</v>
      </c>
      <c r="AA167">
        <f t="shared" si="17"/>
        <v>0</v>
      </c>
      <c r="AB167">
        <f t="shared" si="18"/>
        <v>0</v>
      </c>
      <c r="AC167">
        <f>+IF(Table3[[#This Row],[Do Both Parties have to agree for extension to occur?]]="Yes",0,IF(AND(W167="Yes",Q167="Yes"),IF(R167=X167,R167,MAX(R167,X167)),IF(AND(W167="Yes",OR(Q167="No",Q167="")),X167,IF(AND(OR(W167="No",W167=""),Q167="Yes"),R167,0))))</f>
        <v>0</v>
      </c>
      <c r="AD167" s="69"/>
      <c r="AE167" s="69"/>
      <c r="AF167" t="str">
        <f>IF(AD167="Monthly",Table3[[#This Row],[Assessed Term]]*12,IF(AD167="quarterly",Table3[[#This Row],[Assessed Term]]*4,IF(AD167="annually",Table3[[#This Row],[Assessed Term]]*1,IF(AD167="weekly",Table3[[#This Row],[Assessed Term]]*52,IF(AD167="semiannually",Table3[[#This Row],[Assessed Term]]*2," ")))))</f>
        <v xml:space="preserve"> </v>
      </c>
      <c r="AG167" s="69"/>
      <c r="AH167" s="69"/>
      <c r="AI167" s="73"/>
      <c r="AJ167" s="73"/>
      <c r="AK167" s="73"/>
      <c r="AL167" s="69"/>
      <c r="AM167" s="69"/>
      <c r="AN167" s="120"/>
      <c r="AO167" s="76" t="b">
        <f>IF(K167 = "Lease",+PV(AN167/(AF167/Table3[[#This Row],[Assessed Term]]),AF167,-AI167,0,IF(AE167="Beginning",1,0)))</f>
        <v>0</v>
      </c>
      <c r="AP167" s="69"/>
      <c r="AQ167" s="76">
        <f t="shared" si="20"/>
        <v>0</v>
      </c>
      <c r="AR167" s="72"/>
    </row>
    <row r="168" spans="1:44">
      <c r="A168" s="69"/>
      <c r="B168" s="70"/>
      <c r="C168" s="69"/>
      <c r="D168" s="69"/>
      <c r="E168" s="69"/>
      <c r="F168" s="69"/>
      <c r="G168" s="69"/>
      <c r="H168" s="69"/>
      <c r="I168" s="69"/>
      <c r="J168" s="69"/>
      <c r="K168" t="str">
        <f t="shared" si="16"/>
        <v>Not a Lease</v>
      </c>
      <c r="L168" s="69"/>
      <c r="M168" s="69"/>
      <c r="N168" s="69"/>
      <c r="O168" s="69"/>
      <c r="P168" s="69"/>
      <c r="Q168" s="69"/>
      <c r="R168" s="69"/>
      <c r="S168" s="69"/>
      <c r="T168" s="69"/>
      <c r="U168" s="69"/>
      <c r="V168" s="69"/>
      <c r="W168" s="69"/>
      <c r="X168" s="69"/>
      <c r="Y168" s="69"/>
      <c r="Z168">
        <f t="shared" si="19"/>
        <v>0</v>
      </c>
      <c r="AA168">
        <f t="shared" si="17"/>
        <v>0</v>
      </c>
      <c r="AB168">
        <f t="shared" si="18"/>
        <v>0</v>
      </c>
      <c r="AC168">
        <f>+IF(Table3[[#This Row],[Do Both Parties have to agree for extension to occur?]]="Yes",0,IF(AND(W168="Yes",Q168="Yes"),IF(R168=X168,R168,MAX(R168,X168)),IF(AND(W168="Yes",OR(Q168="No",Q168="")),X168,IF(AND(OR(W168="No",W168=""),Q168="Yes"),R168,0))))</f>
        <v>0</v>
      </c>
      <c r="AD168" s="69"/>
      <c r="AE168" s="69"/>
      <c r="AF168" t="str">
        <f>IF(AD168="Monthly",Table3[[#This Row],[Assessed Term]]*12,IF(AD168="quarterly",Table3[[#This Row],[Assessed Term]]*4,IF(AD168="annually",Table3[[#This Row],[Assessed Term]]*1,IF(AD168="weekly",Table3[[#This Row],[Assessed Term]]*52,IF(AD168="semiannually",Table3[[#This Row],[Assessed Term]]*2," ")))))</f>
        <v xml:space="preserve"> </v>
      </c>
      <c r="AG168" s="69"/>
      <c r="AH168" s="69"/>
      <c r="AI168" s="73"/>
      <c r="AJ168" s="73"/>
      <c r="AK168" s="73"/>
      <c r="AL168" s="69"/>
      <c r="AM168" s="69"/>
      <c r="AN168" s="120"/>
      <c r="AO168" s="76" t="b">
        <f>IF(K168 = "Lease",+PV(AN168/(AF168/Table3[[#This Row],[Assessed Term]]),AF168,-AI168,0,IF(AE168="Beginning",1,0)))</f>
        <v>0</v>
      </c>
      <c r="AP168" s="69"/>
      <c r="AQ168" s="76">
        <f t="shared" si="20"/>
        <v>0</v>
      </c>
      <c r="AR168" s="72"/>
    </row>
    <row r="169" spans="1:44">
      <c r="A169" s="69"/>
      <c r="B169" s="70"/>
      <c r="C169" s="69"/>
      <c r="D169" s="69"/>
      <c r="E169" s="69"/>
      <c r="F169" s="69"/>
      <c r="G169" s="69"/>
      <c r="H169" s="69"/>
      <c r="I169" s="69"/>
      <c r="J169" s="69"/>
      <c r="K169" t="str">
        <f t="shared" si="16"/>
        <v>Not a Lease</v>
      </c>
      <c r="L169" s="69"/>
      <c r="M169" s="69"/>
      <c r="N169" s="69"/>
      <c r="O169" s="69"/>
      <c r="P169" s="69"/>
      <c r="Q169" s="69"/>
      <c r="R169" s="69"/>
      <c r="S169" s="69"/>
      <c r="T169" s="69"/>
      <c r="U169" s="69"/>
      <c r="V169" s="69"/>
      <c r="W169" s="69"/>
      <c r="X169" s="69"/>
      <c r="Y169" s="69"/>
      <c r="Z169">
        <f t="shared" si="19"/>
        <v>0</v>
      </c>
      <c r="AA169">
        <f t="shared" si="17"/>
        <v>0</v>
      </c>
      <c r="AB169">
        <f t="shared" si="18"/>
        <v>0</v>
      </c>
      <c r="AC169">
        <f>+IF(Table3[[#This Row],[Do Both Parties have to agree for extension to occur?]]="Yes",0,IF(AND(W169="Yes",Q169="Yes"),IF(R169=X169,R169,MAX(R169,X169)),IF(AND(W169="Yes",OR(Q169="No",Q169="")),X169,IF(AND(OR(W169="No",W169=""),Q169="Yes"),R169,0))))</f>
        <v>0</v>
      </c>
      <c r="AD169" s="69"/>
      <c r="AE169" s="69"/>
      <c r="AF169" t="str">
        <f>IF(AD169="Monthly",Table3[[#This Row],[Assessed Term]]*12,IF(AD169="quarterly",Table3[[#This Row],[Assessed Term]]*4,IF(AD169="annually",Table3[[#This Row],[Assessed Term]]*1,IF(AD169="weekly",Table3[[#This Row],[Assessed Term]]*52,IF(AD169="semiannually",Table3[[#This Row],[Assessed Term]]*2," ")))))</f>
        <v xml:space="preserve"> </v>
      </c>
      <c r="AG169" s="69"/>
      <c r="AH169" s="69"/>
      <c r="AI169" s="73"/>
      <c r="AJ169" s="73"/>
      <c r="AK169" s="73"/>
      <c r="AL169" s="69"/>
      <c r="AM169" s="69"/>
      <c r="AN169" s="120"/>
      <c r="AO169" s="76" t="b">
        <f>IF(K169 = "Lease",+PV(AN169/(AF169/Table3[[#This Row],[Assessed Term]]),AF169,-AI169,0,IF(AE169="Beginning",1,0)))</f>
        <v>0</v>
      </c>
      <c r="AP169" s="69"/>
      <c r="AQ169" s="76">
        <f t="shared" si="20"/>
        <v>0</v>
      </c>
      <c r="AR169" s="72"/>
    </row>
    <row r="170" spans="1:44">
      <c r="A170" s="69"/>
      <c r="B170" s="70"/>
      <c r="C170" s="69"/>
      <c r="D170" s="69"/>
      <c r="E170" s="69"/>
      <c r="F170" s="69"/>
      <c r="G170" s="69"/>
      <c r="H170" s="69"/>
      <c r="I170" s="69"/>
      <c r="J170" s="69"/>
      <c r="K170" t="str">
        <f t="shared" si="16"/>
        <v>Not a Lease</v>
      </c>
      <c r="L170" s="69"/>
      <c r="M170" s="69"/>
      <c r="N170" s="69"/>
      <c r="O170" s="69"/>
      <c r="P170" s="69"/>
      <c r="Q170" s="69"/>
      <c r="R170" s="69"/>
      <c r="S170" s="69"/>
      <c r="T170" s="69"/>
      <c r="U170" s="69"/>
      <c r="V170" s="69"/>
      <c r="W170" s="69"/>
      <c r="X170" s="69"/>
      <c r="Y170" s="69"/>
      <c r="Z170">
        <f t="shared" si="19"/>
        <v>0</v>
      </c>
      <c r="AA170">
        <f t="shared" si="17"/>
        <v>0</v>
      </c>
      <c r="AB170">
        <f t="shared" si="18"/>
        <v>0</v>
      </c>
      <c r="AC170">
        <f>+IF(Table3[[#This Row],[Do Both Parties have to agree for extension to occur?]]="Yes",0,IF(AND(W170="Yes",Q170="Yes"),IF(R170=X170,R170,MAX(R170,X170)),IF(AND(W170="Yes",OR(Q170="No",Q170="")),X170,IF(AND(OR(W170="No",W170=""),Q170="Yes"),R170,0))))</f>
        <v>0</v>
      </c>
      <c r="AD170" s="69"/>
      <c r="AE170" s="69"/>
      <c r="AF170" t="str">
        <f>IF(AD170="Monthly",Table3[[#This Row],[Assessed Term]]*12,IF(AD170="quarterly",Table3[[#This Row],[Assessed Term]]*4,IF(AD170="annually",Table3[[#This Row],[Assessed Term]]*1,IF(AD170="weekly",Table3[[#This Row],[Assessed Term]]*52,IF(AD170="semiannually",Table3[[#This Row],[Assessed Term]]*2," ")))))</f>
        <v xml:space="preserve"> </v>
      </c>
      <c r="AG170" s="69"/>
      <c r="AH170" s="69"/>
      <c r="AI170" s="73"/>
      <c r="AJ170" s="73"/>
      <c r="AK170" s="73"/>
      <c r="AL170" s="69"/>
      <c r="AM170" s="69"/>
      <c r="AN170" s="120"/>
      <c r="AO170" s="76" t="b">
        <f>IF(K170 = "Lease",+PV(AN170/(AF170/Table3[[#This Row],[Assessed Term]]),AF170,-AI170,0,IF(AE170="Beginning",1,0)))</f>
        <v>0</v>
      </c>
      <c r="AP170" s="69"/>
      <c r="AQ170" s="76">
        <f t="shared" si="20"/>
        <v>0</v>
      </c>
      <c r="AR170" s="72"/>
    </row>
    <row r="171" spans="1:44">
      <c r="A171" s="69"/>
      <c r="B171" s="70"/>
      <c r="C171" s="69"/>
      <c r="D171" s="69"/>
      <c r="E171" s="69"/>
      <c r="F171" s="69"/>
      <c r="G171" s="69"/>
      <c r="H171" s="69"/>
      <c r="I171" s="69"/>
      <c r="J171" s="69"/>
      <c r="K171" t="str">
        <f t="shared" si="16"/>
        <v>Not a Lease</v>
      </c>
      <c r="L171" s="69"/>
      <c r="M171" s="69"/>
      <c r="N171" s="69"/>
      <c r="O171" s="69"/>
      <c r="P171" s="69"/>
      <c r="Q171" s="69"/>
      <c r="R171" s="69"/>
      <c r="S171" s="69"/>
      <c r="T171" s="69"/>
      <c r="U171" s="69"/>
      <c r="V171" s="69"/>
      <c r="W171" s="69"/>
      <c r="X171" s="69"/>
      <c r="Y171" s="69"/>
      <c r="Z171">
        <f t="shared" si="19"/>
        <v>0</v>
      </c>
      <c r="AA171">
        <f t="shared" si="17"/>
        <v>0</v>
      </c>
      <c r="AB171">
        <f t="shared" si="18"/>
        <v>0</v>
      </c>
      <c r="AC171">
        <f>+IF(Table3[[#This Row],[Do Both Parties have to agree for extension to occur?]]="Yes",0,IF(AND(W171="Yes",Q171="Yes"),IF(R171=X171,R171,MAX(R171,X171)),IF(AND(W171="Yes",OR(Q171="No",Q171="")),X171,IF(AND(OR(W171="No",W171=""),Q171="Yes"),R171,0))))</f>
        <v>0</v>
      </c>
      <c r="AD171" s="69"/>
      <c r="AE171" s="69"/>
      <c r="AF171" t="str">
        <f>IF(AD171="Monthly",Table3[[#This Row],[Assessed Term]]*12,IF(AD171="quarterly",Table3[[#This Row],[Assessed Term]]*4,IF(AD171="annually",Table3[[#This Row],[Assessed Term]]*1,IF(AD171="weekly",Table3[[#This Row],[Assessed Term]]*52,IF(AD171="semiannually",Table3[[#This Row],[Assessed Term]]*2," ")))))</f>
        <v xml:space="preserve"> </v>
      </c>
      <c r="AG171" s="69"/>
      <c r="AH171" s="69"/>
      <c r="AI171" s="73"/>
      <c r="AJ171" s="73"/>
      <c r="AK171" s="73"/>
      <c r="AL171" s="69"/>
      <c r="AM171" s="69"/>
      <c r="AN171" s="120"/>
      <c r="AO171" s="76" t="b">
        <f>IF(K171 = "Lease",+PV(AN171/(AF171/Table3[[#This Row],[Assessed Term]]),AF171,-AI171,0,IF(AE171="Beginning",1,0)))</f>
        <v>0</v>
      </c>
      <c r="AP171" s="69"/>
      <c r="AQ171" s="76">
        <f t="shared" si="20"/>
        <v>0</v>
      </c>
      <c r="AR171" s="72"/>
    </row>
    <row r="172" spans="1:44">
      <c r="A172" s="69"/>
      <c r="B172" s="70"/>
      <c r="C172" s="69"/>
      <c r="D172" s="69"/>
      <c r="E172" s="69"/>
      <c r="F172" s="69"/>
      <c r="G172" s="69"/>
      <c r="H172" s="69"/>
      <c r="I172" s="69"/>
      <c r="J172" s="69"/>
      <c r="K172" t="str">
        <f t="shared" si="16"/>
        <v>Not a Lease</v>
      </c>
      <c r="L172" s="69"/>
      <c r="M172" s="69"/>
      <c r="N172" s="69"/>
      <c r="O172" s="69"/>
      <c r="P172" s="69"/>
      <c r="Q172" s="69"/>
      <c r="R172" s="69"/>
      <c r="S172" s="69"/>
      <c r="T172" s="69"/>
      <c r="U172" s="69"/>
      <c r="V172" s="69"/>
      <c r="W172" s="69"/>
      <c r="X172" s="69"/>
      <c r="Y172" s="69"/>
      <c r="Z172">
        <f t="shared" si="19"/>
        <v>0</v>
      </c>
      <c r="AA172">
        <f t="shared" si="17"/>
        <v>0</v>
      </c>
      <c r="AB172">
        <f t="shared" si="18"/>
        <v>0</v>
      </c>
      <c r="AC172">
        <f>+IF(Table3[[#This Row],[Do Both Parties have to agree for extension to occur?]]="Yes",0,IF(AND(W172="Yes",Q172="Yes"),IF(R172=X172,R172,MAX(R172,X172)),IF(AND(W172="Yes",OR(Q172="No",Q172="")),X172,IF(AND(OR(W172="No",W172=""),Q172="Yes"),R172,0))))</f>
        <v>0</v>
      </c>
      <c r="AD172" s="69"/>
      <c r="AE172" s="69"/>
      <c r="AF172" t="str">
        <f>IF(AD172="Monthly",Table3[[#This Row],[Assessed Term]]*12,IF(AD172="quarterly",Table3[[#This Row],[Assessed Term]]*4,IF(AD172="annually",Table3[[#This Row],[Assessed Term]]*1,IF(AD172="weekly",Table3[[#This Row],[Assessed Term]]*52,IF(AD172="semiannually",Table3[[#This Row],[Assessed Term]]*2," ")))))</f>
        <v xml:space="preserve"> </v>
      </c>
      <c r="AG172" s="69"/>
      <c r="AH172" s="69"/>
      <c r="AI172" s="73"/>
      <c r="AJ172" s="73"/>
      <c r="AK172" s="73"/>
      <c r="AL172" s="69"/>
      <c r="AM172" s="69"/>
      <c r="AN172" s="120"/>
      <c r="AO172" s="76" t="b">
        <f>IF(K172 = "Lease",+PV(AN172/(AF172/Table3[[#This Row],[Assessed Term]]),AF172,-AI172,0,IF(AE172="Beginning",1,0)))</f>
        <v>0</v>
      </c>
      <c r="AP172" s="69"/>
      <c r="AQ172" s="76">
        <f t="shared" si="20"/>
        <v>0</v>
      </c>
      <c r="AR172" s="72"/>
    </row>
    <row r="173" spans="1:44">
      <c r="A173" s="69"/>
      <c r="B173" s="70"/>
      <c r="C173" s="69"/>
      <c r="D173" s="69"/>
      <c r="E173" s="69"/>
      <c r="F173" s="69"/>
      <c r="G173" s="69"/>
      <c r="H173" s="69"/>
      <c r="I173" s="69"/>
      <c r="J173" s="69"/>
      <c r="K173" t="str">
        <f t="shared" si="16"/>
        <v>Not a Lease</v>
      </c>
      <c r="L173" s="69"/>
      <c r="M173" s="69"/>
      <c r="N173" s="69"/>
      <c r="O173" s="69"/>
      <c r="P173" s="69"/>
      <c r="Q173" s="69"/>
      <c r="R173" s="69"/>
      <c r="S173" s="69"/>
      <c r="T173" s="69"/>
      <c r="U173" s="69"/>
      <c r="V173" s="69"/>
      <c r="W173" s="69"/>
      <c r="X173" s="69"/>
      <c r="Y173" s="69"/>
      <c r="Z173">
        <f t="shared" si="19"/>
        <v>0</v>
      </c>
      <c r="AA173">
        <f t="shared" si="17"/>
        <v>0</v>
      </c>
      <c r="AB173">
        <f t="shared" si="18"/>
        <v>0</v>
      </c>
      <c r="AC173">
        <f>+IF(Table3[[#This Row],[Do Both Parties have to agree for extension to occur?]]="Yes",0,IF(AND(W173="Yes",Q173="Yes"),IF(R173=X173,R173,MAX(R173,X173)),IF(AND(W173="Yes",OR(Q173="No",Q173="")),X173,IF(AND(OR(W173="No",W173=""),Q173="Yes"),R173,0))))</f>
        <v>0</v>
      </c>
      <c r="AD173" s="69"/>
      <c r="AE173" s="69"/>
      <c r="AF173" t="str">
        <f>IF(AD173="Monthly",Table3[[#This Row],[Assessed Term]]*12,IF(AD173="quarterly",Table3[[#This Row],[Assessed Term]]*4,IF(AD173="annually",Table3[[#This Row],[Assessed Term]]*1,IF(AD173="weekly",Table3[[#This Row],[Assessed Term]]*52,IF(AD173="semiannually",Table3[[#This Row],[Assessed Term]]*2," ")))))</f>
        <v xml:space="preserve"> </v>
      </c>
      <c r="AG173" s="69"/>
      <c r="AH173" s="69"/>
      <c r="AI173" s="73"/>
      <c r="AJ173" s="73"/>
      <c r="AK173" s="73"/>
      <c r="AL173" s="69"/>
      <c r="AM173" s="69"/>
      <c r="AN173" s="120"/>
      <c r="AO173" s="76" t="b">
        <f>IF(K173 = "Lease",+PV(AN173/(AF173/Table3[[#This Row],[Assessed Term]]),AF173,-AI173,0,IF(AE173="Beginning",1,0)))</f>
        <v>0</v>
      </c>
      <c r="AP173" s="69"/>
      <c r="AQ173" s="76">
        <f t="shared" si="20"/>
        <v>0</v>
      </c>
      <c r="AR173" s="72"/>
    </row>
    <row r="174" spans="1:44">
      <c r="A174" s="69"/>
      <c r="B174" s="70"/>
      <c r="C174" s="69"/>
      <c r="D174" s="69"/>
      <c r="E174" s="69"/>
      <c r="F174" s="69"/>
      <c r="G174" s="69"/>
      <c r="H174" s="69"/>
      <c r="I174" s="69"/>
      <c r="J174" s="69"/>
      <c r="K174" t="str">
        <f t="shared" si="16"/>
        <v>Not a Lease</v>
      </c>
      <c r="L174" s="69"/>
      <c r="M174" s="69"/>
      <c r="N174" s="69"/>
      <c r="O174" s="69"/>
      <c r="P174" s="69"/>
      <c r="Q174" s="69"/>
      <c r="R174" s="69"/>
      <c r="S174" s="69"/>
      <c r="T174" s="69"/>
      <c r="U174" s="69"/>
      <c r="V174" s="69"/>
      <c r="W174" s="69"/>
      <c r="X174" s="69"/>
      <c r="Y174" s="69"/>
      <c r="Z174">
        <f t="shared" si="19"/>
        <v>0</v>
      </c>
      <c r="AA174">
        <f t="shared" si="17"/>
        <v>0</v>
      </c>
      <c r="AB174">
        <f t="shared" si="18"/>
        <v>0</v>
      </c>
      <c r="AC174">
        <f>+IF(Table3[[#This Row],[Do Both Parties have to agree for extension to occur?]]="Yes",0,IF(AND(W174="Yes",Q174="Yes"),IF(R174=X174,R174,MAX(R174,X174)),IF(AND(W174="Yes",OR(Q174="No",Q174="")),X174,IF(AND(OR(W174="No",W174=""),Q174="Yes"),R174,0))))</f>
        <v>0</v>
      </c>
      <c r="AD174" s="69"/>
      <c r="AE174" s="69"/>
      <c r="AF174" t="str">
        <f>IF(AD174="Monthly",Table3[[#This Row],[Assessed Term]]*12,IF(AD174="quarterly",Table3[[#This Row],[Assessed Term]]*4,IF(AD174="annually",Table3[[#This Row],[Assessed Term]]*1,IF(AD174="weekly",Table3[[#This Row],[Assessed Term]]*52,IF(AD174="semiannually",Table3[[#This Row],[Assessed Term]]*2," ")))))</f>
        <v xml:space="preserve"> </v>
      </c>
      <c r="AG174" s="69"/>
      <c r="AH174" s="69"/>
      <c r="AI174" s="73"/>
      <c r="AJ174" s="73"/>
      <c r="AK174" s="73"/>
      <c r="AL174" s="69"/>
      <c r="AM174" s="69"/>
      <c r="AN174" s="120"/>
      <c r="AO174" s="76" t="b">
        <f>IF(K174 = "Lease",+PV(AN174/(AF174/Table3[[#This Row],[Assessed Term]]),AF174,-AI174,0,IF(AE174="Beginning",1,0)))</f>
        <v>0</v>
      </c>
      <c r="AP174" s="69"/>
      <c r="AQ174" s="76">
        <f t="shared" si="20"/>
        <v>0</v>
      </c>
      <c r="AR174" s="72"/>
    </row>
    <row r="175" spans="1:44">
      <c r="A175" s="69"/>
      <c r="B175" s="70"/>
      <c r="C175" s="69"/>
      <c r="D175" s="69"/>
      <c r="E175" s="69"/>
      <c r="F175" s="69"/>
      <c r="G175" s="69"/>
      <c r="H175" s="69"/>
      <c r="I175" s="69"/>
      <c r="J175" s="69"/>
      <c r="K175" t="str">
        <f t="shared" si="16"/>
        <v>Not a Lease</v>
      </c>
      <c r="L175" s="69"/>
      <c r="M175" s="69"/>
      <c r="N175" s="69"/>
      <c r="O175" s="69"/>
      <c r="P175" s="69"/>
      <c r="Q175" s="69"/>
      <c r="R175" s="69"/>
      <c r="S175" s="69"/>
      <c r="T175" s="69"/>
      <c r="U175" s="69"/>
      <c r="V175" s="69"/>
      <c r="W175" s="69"/>
      <c r="X175" s="69"/>
      <c r="Y175" s="69"/>
      <c r="Z175">
        <f t="shared" si="19"/>
        <v>0</v>
      </c>
      <c r="AA175">
        <f t="shared" si="17"/>
        <v>0</v>
      </c>
      <c r="AB175">
        <f t="shared" si="18"/>
        <v>0</v>
      </c>
      <c r="AC175">
        <f>+IF(Table3[[#This Row],[Do Both Parties have to agree for extension to occur?]]="Yes",0,IF(AND(W175="Yes",Q175="Yes"),IF(R175=X175,R175,MAX(R175,X175)),IF(AND(W175="Yes",OR(Q175="No",Q175="")),X175,IF(AND(OR(W175="No",W175=""),Q175="Yes"),R175,0))))</f>
        <v>0</v>
      </c>
      <c r="AD175" s="69"/>
      <c r="AE175" s="69"/>
      <c r="AF175" t="str">
        <f>IF(AD175="Monthly",Table3[[#This Row],[Assessed Term]]*12,IF(AD175="quarterly",Table3[[#This Row],[Assessed Term]]*4,IF(AD175="annually",Table3[[#This Row],[Assessed Term]]*1,IF(AD175="weekly",Table3[[#This Row],[Assessed Term]]*52,IF(AD175="semiannually",Table3[[#This Row],[Assessed Term]]*2," ")))))</f>
        <v xml:space="preserve"> </v>
      </c>
      <c r="AG175" s="69"/>
      <c r="AH175" s="69"/>
      <c r="AI175" s="73"/>
      <c r="AJ175" s="73"/>
      <c r="AK175" s="73"/>
      <c r="AL175" s="69"/>
      <c r="AM175" s="69"/>
      <c r="AN175" s="120"/>
      <c r="AO175" s="76" t="b">
        <f>IF(K175 = "Lease",+PV(AN175/(AF175/Table3[[#This Row],[Assessed Term]]),AF175,-AI175,0,IF(AE175="Beginning",1,0)))</f>
        <v>0</v>
      </c>
      <c r="AP175" s="69"/>
      <c r="AQ175" s="76">
        <f t="shared" si="20"/>
        <v>0</v>
      </c>
      <c r="AR175" s="72"/>
    </row>
    <row r="176" spans="1:44">
      <c r="A176" s="69"/>
      <c r="B176" s="70"/>
      <c r="C176" s="69"/>
      <c r="D176" s="69"/>
      <c r="E176" s="69"/>
      <c r="F176" s="69"/>
      <c r="G176" s="69"/>
      <c r="H176" s="69"/>
      <c r="I176" s="69"/>
      <c r="J176" s="69"/>
      <c r="K176" t="str">
        <f t="shared" si="16"/>
        <v>Not a Lease</v>
      </c>
      <c r="L176" s="69"/>
      <c r="M176" s="69"/>
      <c r="N176" s="69"/>
      <c r="O176" s="69"/>
      <c r="P176" s="69"/>
      <c r="Q176" s="69"/>
      <c r="R176" s="69"/>
      <c r="S176" s="69"/>
      <c r="T176" s="69"/>
      <c r="U176" s="69"/>
      <c r="V176" s="69"/>
      <c r="W176" s="69"/>
      <c r="X176" s="69"/>
      <c r="Y176" s="69"/>
      <c r="Z176">
        <f t="shared" ref="Z176:Z207" si="21">+IF(AB176=0,AA176+AC176,AB176)</f>
        <v>0</v>
      </c>
      <c r="AA176">
        <f t="shared" si="17"/>
        <v>0</v>
      </c>
      <c r="AB176">
        <f t="shared" si="18"/>
        <v>0</v>
      </c>
      <c r="AC176">
        <f>+IF(Table3[[#This Row],[Do Both Parties have to agree for extension to occur?]]="Yes",0,IF(AND(W176="Yes",Q176="Yes"),IF(R176=X176,R176,MAX(R176,X176)),IF(AND(W176="Yes",OR(Q176="No",Q176="")),X176,IF(AND(OR(W176="No",W176=""),Q176="Yes"),R176,0))))</f>
        <v>0</v>
      </c>
      <c r="AD176" s="69"/>
      <c r="AE176" s="69"/>
      <c r="AF176" t="str">
        <f>IF(AD176="Monthly",Table3[[#This Row],[Assessed Term]]*12,IF(AD176="quarterly",Table3[[#This Row],[Assessed Term]]*4,IF(AD176="annually",Table3[[#This Row],[Assessed Term]]*1,IF(AD176="weekly",Table3[[#This Row],[Assessed Term]]*52,IF(AD176="semiannually",Table3[[#This Row],[Assessed Term]]*2," ")))))</f>
        <v xml:space="preserve"> </v>
      </c>
      <c r="AG176" s="69"/>
      <c r="AH176" s="69"/>
      <c r="AI176" s="73"/>
      <c r="AJ176" s="73"/>
      <c r="AK176" s="73"/>
      <c r="AL176" s="69"/>
      <c r="AM176" s="69"/>
      <c r="AN176" s="120"/>
      <c r="AO176" s="76" t="b">
        <f>IF(K176 = "Lease",+PV(AN176/(AF176/Table3[[#This Row],[Assessed Term]]),AF176,-AI176,0,IF(AE176="Beginning",1,0)))</f>
        <v>0</v>
      </c>
      <c r="AP176" s="69"/>
      <c r="AQ176" s="76">
        <f t="shared" ref="AQ176:AQ207" si="22">+IF(AP176 = "no",AO176,0)</f>
        <v>0</v>
      </c>
      <c r="AR176" s="72"/>
    </row>
    <row r="177" spans="1:44">
      <c r="A177" s="69"/>
      <c r="B177" s="70"/>
      <c r="C177" s="69"/>
      <c r="D177" s="69"/>
      <c r="E177" s="69"/>
      <c r="F177" s="69"/>
      <c r="G177" s="69"/>
      <c r="H177" s="69"/>
      <c r="I177" s="69"/>
      <c r="J177" s="69"/>
      <c r="K177" t="str">
        <f t="shared" si="16"/>
        <v>Not a Lease</v>
      </c>
      <c r="L177" s="69"/>
      <c r="M177" s="69"/>
      <c r="N177" s="69"/>
      <c r="O177" s="69"/>
      <c r="P177" s="69"/>
      <c r="Q177" s="69"/>
      <c r="R177" s="69"/>
      <c r="S177" s="69"/>
      <c r="T177" s="69"/>
      <c r="U177" s="69"/>
      <c r="V177" s="69"/>
      <c r="W177" s="69"/>
      <c r="X177" s="69"/>
      <c r="Y177" s="69"/>
      <c r="Z177">
        <f t="shared" si="21"/>
        <v>0</v>
      </c>
      <c r="AA177">
        <f t="shared" si="17"/>
        <v>0</v>
      </c>
      <c r="AB177">
        <f t="shared" si="18"/>
        <v>0</v>
      </c>
      <c r="AC177">
        <f>+IF(Table3[[#This Row],[Do Both Parties have to agree for extension to occur?]]="Yes",0,IF(AND(W177="Yes",Q177="Yes"),IF(R177=X177,R177,MAX(R177,X177)),IF(AND(W177="Yes",OR(Q177="No",Q177="")),X177,IF(AND(OR(W177="No",W177=""),Q177="Yes"),R177,0))))</f>
        <v>0</v>
      </c>
      <c r="AD177" s="69"/>
      <c r="AE177" s="69"/>
      <c r="AF177" t="str">
        <f>IF(AD177="Monthly",Table3[[#This Row],[Assessed Term]]*12,IF(AD177="quarterly",Table3[[#This Row],[Assessed Term]]*4,IF(AD177="annually",Table3[[#This Row],[Assessed Term]]*1,IF(AD177="weekly",Table3[[#This Row],[Assessed Term]]*52,IF(AD177="semiannually",Table3[[#This Row],[Assessed Term]]*2," ")))))</f>
        <v xml:space="preserve"> </v>
      </c>
      <c r="AG177" s="69"/>
      <c r="AH177" s="69"/>
      <c r="AI177" s="73"/>
      <c r="AJ177" s="73"/>
      <c r="AK177" s="73"/>
      <c r="AL177" s="69"/>
      <c r="AM177" s="69"/>
      <c r="AN177" s="120"/>
      <c r="AO177" s="76" t="b">
        <f>IF(K177 = "Lease",+PV(AN177/(AF177/Table3[[#This Row],[Assessed Term]]),AF177,-AI177,0,IF(AE177="Beginning",1,0)))</f>
        <v>0</v>
      </c>
      <c r="AP177" s="69"/>
      <c r="AQ177" s="76">
        <f t="shared" si="22"/>
        <v>0</v>
      </c>
      <c r="AR177" s="72"/>
    </row>
    <row r="178" spans="1:44">
      <c r="A178" s="69"/>
      <c r="B178" s="70"/>
      <c r="C178" s="69"/>
      <c r="D178" s="69"/>
      <c r="E178" s="69"/>
      <c r="F178" s="69"/>
      <c r="G178" s="69"/>
      <c r="H178" s="69"/>
      <c r="I178" s="69"/>
      <c r="J178" s="69"/>
      <c r="K178" t="str">
        <f t="shared" si="16"/>
        <v>Not a Lease</v>
      </c>
      <c r="L178" s="69"/>
      <c r="M178" s="69"/>
      <c r="N178" s="69"/>
      <c r="O178" s="69"/>
      <c r="P178" s="69"/>
      <c r="Q178" s="69"/>
      <c r="R178" s="69"/>
      <c r="S178" s="69"/>
      <c r="T178" s="69"/>
      <c r="U178" s="69"/>
      <c r="V178" s="69"/>
      <c r="W178" s="69"/>
      <c r="X178" s="69"/>
      <c r="Y178" s="69"/>
      <c r="Z178">
        <f t="shared" si="21"/>
        <v>0</v>
      </c>
      <c r="AA178">
        <f t="shared" si="17"/>
        <v>0</v>
      </c>
      <c r="AB178">
        <f t="shared" si="18"/>
        <v>0</v>
      </c>
      <c r="AC178">
        <f>+IF(Table3[[#This Row],[Do Both Parties have to agree for extension to occur?]]="Yes",0,IF(AND(W178="Yes",Q178="Yes"),IF(R178=X178,R178,MAX(R178,X178)),IF(AND(W178="Yes",OR(Q178="No",Q178="")),X178,IF(AND(OR(W178="No",W178=""),Q178="Yes"),R178,0))))</f>
        <v>0</v>
      </c>
      <c r="AD178" s="69"/>
      <c r="AE178" s="69"/>
      <c r="AF178" t="str">
        <f>IF(AD178="Monthly",Table3[[#This Row],[Assessed Term]]*12,IF(AD178="quarterly",Table3[[#This Row],[Assessed Term]]*4,IF(AD178="annually",Table3[[#This Row],[Assessed Term]]*1,IF(AD178="weekly",Table3[[#This Row],[Assessed Term]]*52,IF(AD178="semiannually",Table3[[#This Row],[Assessed Term]]*2," ")))))</f>
        <v xml:space="preserve"> </v>
      </c>
      <c r="AG178" s="69"/>
      <c r="AH178" s="69"/>
      <c r="AI178" s="73"/>
      <c r="AJ178" s="73"/>
      <c r="AK178" s="73"/>
      <c r="AL178" s="69"/>
      <c r="AM178" s="69"/>
      <c r="AN178" s="120"/>
      <c r="AO178" s="76" t="b">
        <f>IF(K178 = "Lease",+PV(AN178/(AF178/Table3[[#This Row],[Assessed Term]]),AF178,-AI178,0,IF(AE178="Beginning",1,0)))</f>
        <v>0</v>
      </c>
      <c r="AP178" s="69"/>
      <c r="AQ178" s="76">
        <f t="shared" si="22"/>
        <v>0</v>
      </c>
      <c r="AR178" s="72"/>
    </row>
    <row r="179" spans="1:44">
      <c r="A179" s="69"/>
      <c r="B179" s="70"/>
      <c r="C179" s="69"/>
      <c r="D179" s="69"/>
      <c r="E179" s="69"/>
      <c r="F179" s="69"/>
      <c r="G179" s="69"/>
      <c r="H179" s="69"/>
      <c r="I179" s="69"/>
      <c r="J179" s="69"/>
      <c r="K179" t="str">
        <f t="shared" si="16"/>
        <v>Not a Lease</v>
      </c>
      <c r="L179" s="69"/>
      <c r="M179" s="69"/>
      <c r="N179" s="69"/>
      <c r="O179" s="69"/>
      <c r="P179" s="69"/>
      <c r="Q179" s="69"/>
      <c r="R179" s="69"/>
      <c r="S179" s="69"/>
      <c r="T179" s="69"/>
      <c r="U179" s="69"/>
      <c r="V179" s="69"/>
      <c r="W179" s="69"/>
      <c r="X179" s="69"/>
      <c r="Y179" s="69"/>
      <c r="Z179">
        <f t="shared" si="21"/>
        <v>0</v>
      </c>
      <c r="AA179">
        <f t="shared" si="17"/>
        <v>0</v>
      </c>
      <c r="AB179">
        <f t="shared" si="18"/>
        <v>0</v>
      </c>
      <c r="AC179">
        <f>+IF(Table3[[#This Row],[Do Both Parties have to agree for extension to occur?]]="Yes",0,IF(AND(W179="Yes",Q179="Yes"),IF(R179=X179,R179,MAX(R179,X179)),IF(AND(W179="Yes",OR(Q179="No",Q179="")),X179,IF(AND(OR(W179="No",W179=""),Q179="Yes"),R179,0))))</f>
        <v>0</v>
      </c>
      <c r="AD179" s="69"/>
      <c r="AE179" s="69"/>
      <c r="AF179" t="str">
        <f>IF(AD179="Monthly",Table3[[#This Row],[Assessed Term]]*12,IF(AD179="quarterly",Table3[[#This Row],[Assessed Term]]*4,IF(AD179="annually",Table3[[#This Row],[Assessed Term]]*1,IF(AD179="weekly",Table3[[#This Row],[Assessed Term]]*52,IF(AD179="semiannually",Table3[[#This Row],[Assessed Term]]*2," ")))))</f>
        <v xml:space="preserve"> </v>
      </c>
      <c r="AG179" s="69"/>
      <c r="AH179" s="69"/>
      <c r="AI179" s="73"/>
      <c r="AJ179" s="73"/>
      <c r="AK179" s="73"/>
      <c r="AL179" s="69"/>
      <c r="AM179" s="69"/>
      <c r="AN179" s="120"/>
      <c r="AO179" s="76" t="b">
        <f>IF(K179 = "Lease",+PV(AN179/(AF179/Table3[[#This Row],[Assessed Term]]),AF179,-AI179,0,IF(AE179="Beginning",1,0)))</f>
        <v>0</v>
      </c>
      <c r="AP179" s="69"/>
      <c r="AQ179" s="76">
        <f t="shared" si="22"/>
        <v>0</v>
      </c>
      <c r="AR179" s="72"/>
    </row>
    <row r="180" spans="1:44">
      <c r="A180" s="69"/>
      <c r="B180" s="70"/>
      <c r="C180" s="69"/>
      <c r="D180" s="69"/>
      <c r="E180" s="69"/>
      <c r="F180" s="69"/>
      <c r="G180" s="69"/>
      <c r="H180" s="69"/>
      <c r="I180" s="69"/>
      <c r="J180" s="69"/>
      <c r="K180" t="str">
        <f t="shared" si="16"/>
        <v>Not a Lease</v>
      </c>
      <c r="L180" s="69"/>
      <c r="M180" s="69"/>
      <c r="N180" s="69"/>
      <c r="O180" s="69"/>
      <c r="P180" s="69"/>
      <c r="Q180" s="69"/>
      <c r="R180" s="69"/>
      <c r="S180" s="69"/>
      <c r="T180" s="69"/>
      <c r="U180" s="69"/>
      <c r="V180" s="69"/>
      <c r="W180" s="69"/>
      <c r="X180" s="69"/>
      <c r="Y180" s="69"/>
      <c r="Z180">
        <f t="shared" si="21"/>
        <v>0</v>
      </c>
      <c r="AA180">
        <f t="shared" si="17"/>
        <v>0</v>
      </c>
      <c r="AB180">
        <f t="shared" si="18"/>
        <v>0</v>
      </c>
      <c r="AC180">
        <f>+IF(Table3[[#This Row],[Do Both Parties have to agree for extension to occur?]]="Yes",0,IF(AND(W180="Yes",Q180="Yes"),IF(R180=X180,R180,MAX(R180,X180)),IF(AND(W180="Yes",OR(Q180="No",Q180="")),X180,IF(AND(OR(W180="No",W180=""),Q180="Yes"),R180,0))))</f>
        <v>0</v>
      </c>
      <c r="AD180" s="69"/>
      <c r="AE180" s="69"/>
      <c r="AF180" t="str">
        <f>IF(AD180="Monthly",Table3[[#This Row],[Assessed Term]]*12,IF(AD180="quarterly",Table3[[#This Row],[Assessed Term]]*4,IF(AD180="annually",Table3[[#This Row],[Assessed Term]]*1,IF(AD180="weekly",Table3[[#This Row],[Assessed Term]]*52,IF(AD180="semiannually",Table3[[#This Row],[Assessed Term]]*2," ")))))</f>
        <v xml:space="preserve"> </v>
      </c>
      <c r="AG180" s="69"/>
      <c r="AH180" s="69"/>
      <c r="AI180" s="73"/>
      <c r="AJ180" s="73"/>
      <c r="AK180" s="73"/>
      <c r="AL180" s="69"/>
      <c r="AM180" s="69"/>
      <c r="AN180" s="120"/>
      <c r="AO180" s="76" t="b">
        <f>IF(K180 = "Lease",+PV(AN180/(AF180/Table3[[#This Row],[Assessed Term]]),AF180,-AI180,0,IF(AE180="Beginning",1,0)))</f>
        <v>0</v>
      </c>
      <c r="AP180" s="69"/>
      <c r="AQ180" s="76">
        <f t="shared" si="22"/>
        <v>0</v>
      </c>
      <c r="AR180" s="72"/>
    </row>
    <row r="181" spans="1:44">
      <c r="A181" s="69"/>
      <c r="B181" s="70"/>
      <c r="C181" s="69"/>
      <c r="D181" s="69"/>
      <c r="E181" s="69"/>
      <c r="F181" s="69"/>
      <c r="G181" s="69"/>
      <c r="H181" s="69"/>
      <c r="I181" s="69"/>
      <c r="J181" s="69"/>
      <c r="K181" t="str">
        <f t="shared" si="16"/>
        <v>Not a Lease</v>
      </c>
      <c r="L181" s="69"/>
      <c r="M181" s="69"/>
      <c r="N181" s="69"/>
      <c r="O181" s="69"/>
      <c r="P181" s="69"/>
      <c r="Q181" s="69"/>
      <c r="R181" s="69"/>
      <c r="S181" s="69"/>
      <c r="T181" s="69"/>
      <c r="U181" s="69"/>
      <c r="V181" s="69"/>
      <c r="W181" s="69"/>
      <c r="X181" s="69"/>
      <c r="Y181" s="69"/>
      <c r="Z181">
        <f t="shared" si="21"/>
        <v>0</v>
      </c>
      <c r="AA181">
        <f t="shared" si="17"/>
        <v>0</v>
      </c>
      <c r="AB181">
        <f t="shared" si="18"/>
        <v>0</v>
      </c>
      <c r="AC181">
        <f>+IF(Table3[[#This Row],[Do Both Parties have to agree for extension to occur?]]="Yes",0,IF(AND(W181="Yes",Q181="Yes"),IF(R181=X181,R181,MAX(R181,X181)),IF(AND(W181="Yes",OR(Q181="No",Q181="")),X181,IF(AND(OR(W181="No",W181=""),Q181="Yes"),R181,0))))</f>
        <v>0</v>
      </c>
      <c r="AD181" s="69"/>
      <c r="AE181" s="69"/>
      <c r="AF181" t="str">
        <f>IF(AD181="Monthly",Table3[[#This Row],[Assessed Term]]*12,IF(AD181="quarterly",Table3[[#This Row],[Assessed Term]]*4,IF(AD181="annually",Table3[[#This Row],[Assessed Term]]*1,IF(AD181="weekly",Table3[[#This Row],[Assessed Term]]*52,IF(AD181="semiannually",Table3[[#This Row],[Assessed Term]]*2," ")))))</f>
        <v xml:space="preserve"> </v>
      </c>
      <c r="AG181" s="69"/>
      <c r="AH181" s="69"/>
      <c r="AI181" s="73"/>
      <c r="AJ181" s="73"/>
      <c r="AK181" s="73"/>
      <c r="AL181" s="69"/>
      <c r="AM181" s="69"/>
      <c r="AN181" s="120"/>
      <c r="AO181" s="76" t="b">
        <f>IF(K181 = "Lease",+PV(AN181/(AF181/Table3[[#This Row],[Assessed Term]]),AF181,-AI181,0,IF(AE181="Beginning",1,0)))</f>
        <v>0</v>
      </c>
      <c r="AP181" s="69"/>
      <c r="AQ181" s="76">
        <f t="shared" si="22"/>
        <v>0</v>
      </c>
      <c r="AR181" s="72"/>
    </row>
    <row r="182" spans="1:44">
      <c r="A182" s="69"/>
      <c r="B182" s="70"/>
      <c r="C182" s="69"/>
      <c r="D182" s="69"/>
      <c r="E182" s="69"/>
      <c r="F182" s="69"/>
      <c r="G182" s="69"/>
      <c r="H182" s="69"/>
      <c r="I182" s="69"/>
      <c r="J182" s="69"/>
      <c r="K182" t="str">
        <f t="shared" si="16"/>
        <v>Not a Lease</v>
      </c>
      <c r="L182" s="69"/>
      <c r="M182" s="69"/>
      <c r="N182" s="69"/>
      <c r="O182" s="69"/>
      <c r="P182" s="69"/>
      <c r="Q182" s="69"/>
      <c r="R182" s="69"/>
      <c r="S182" s="69"/>
      <c r="T182" s="69"/>
      <c r="U182" s="69"/>
      <c r="V182" s="69"/>
      <c r="W182" s="69"/>
      <c r="X182" s="69"/>
      <c r="Y182" s="69"/>
      <c r="Z182">
        <f t="shared" si="21"/>
        <v>0</v>
      </c>
      <c r="AA182">
        <f t="shared" si="17"/>
        <v>0</v>
      </c>
      <c r="AB182">
        <f t="shared" si="18"/>
        <v>0</v>
      </c>
      <c r="AC182">
        <f>+IF(Table3[[#This Row],[Do Both Parties have to agree for extension to occur?]]="Yes",0,IF(AND(W182="Yes",Q182="Yes"),IF(R182=X182,R182,MAX(R182,X182)),IF(AND(W182="Yes",OR(Q182="No",Q182="")),X182,IF(AND(OR(W182="No",W182=""),Q182="Yes"),R182,0))))</f>
        <v>0</v>
      </c>
      <c r="AD182" s="69"/>
      <c r="AE182" s="69"/>
      <c r="AF182" t="str">
        <f>IF(AD182="Monthly",Table3[[#This Row],[Assessed Term]]*12,IF(AD182="quarterly",Table3[[#This Row],[Assessed Term]]*4,IF(AD182="annually",Table3[[#This Row],[Assessed Term]]*1,IF(AD182="weekly",Table3[[#This Row],[Assessed Term]]*52,IF(AD182="semiannually",Table3[[#This Row],[Assessed Term]]*2," ")))))</f>
        <v xml:space="preserve"> </v>
      </c>
      <c r="AG182" s="69"/>
      <c r="AH182" s="69"/>
      <c r="AI182" s="73"/>
      <c r="AJ182" s="73"/>
      <c r="AK182" s="73"/>
      <c r="AL182" s="69"/>
      <c r="AM182" s="69"/>
      <c r="AN182" s="120"/>
      <c r="AO182" s="76" t="b">
        <f>IF(K182 = "Lease",+PV(AN182/(AF182/Table3[[#This Row],[Assessed Term]]),AF182,-AI182,0,IF(AE182="Beginning",1,0)))</f>
        <v>0</v>
      </c>
      <c r="AP182" s="69"/>
      <c r="AQ182" s="76">
        <f t="shared" si="22"/>
        <v>0</v>
      </c>
      <c r="AR182" s="72"/>
    </row>
    <row r="183" spans="1:44">
      <c r="A183" s="69"/>
      <c r="B183" s="70"/>
      <c r="C183" s="69"/>
      <c r="D183" s="69"/>
      <c r="E183" s="69"/>
      <c r="F183" s="69"/>
      <c r="G183" s="69"/>
      <c r="H183" s="69"/>
      <c r="I183" s="69"/>
      <c r="J183" s="69"/>
      <c r="K183" t="str">
        <f t="shared" si="16"/>
        <v>Not a Lease</v>
      </c>
      <c r="L183" s="69"/>
      <c r="M183" s="69"/>
      <c r="N183" s="69"/>
      <c r="O183" s="69"/>
      <c r="P183" s="69"/>
      <c r="Q183" s="69"/>
      <c r="R183" s="69"/>
      <c r="S183" s="69"/>
      <c r="T183" s="69"/>
      <c r="U183" s="69"/>
      <c r="V183" s="69"/>
      <c r="W183" s="69"/>
      <c r="X183" s="69"/>
      <c r="Y183" s="69"/>
      <c r="Z183">
        <f t="shared" si="21"/>
        <v>0</v>
      </c>
      <c r="AA183">
        <f t="shared" si="17"/>
        <v>0</v>
      </c>
      <c r="AB183">
        <f t="shared" si="18"/>
        <v>0</v>
      </c>
      <c r="AC183">
        <f>+IF(Table3[[#This Row],[Do Both Parties have to agree for extension to occur?]]="Yes",0,IF(AND(W183="Yes",Q183="Yes"),IF(R183=X183,R183,MAX(R183,X183)),IF(AND(W183="Yes",OR(Q183="No",Q183="")),X183,IF(AND(OR(W183="No",W183=""),Q183="Yes"),R183,0))))</f>
        <v>0</v>
      </c>
      <c r="AD183" s="69"/>
      <c r="AE183" s="69"/>
      <c r="AF183" t="str">
        <f>IF(AD183="Monthly",Table3[[#This Row],[Assessed Term]]*12,IF(AD183="quarterly",Table3[[#This Row],[Assessed Term]]*4,IF(AD183="annually",Table3[[#This Row],[Assessed Term]]*1,IF(AD183="weekly",Table3[[#This Row],[Assessed Term]]*52,IF(AD183="semiannually",Table3[[#This Row],[Assessed Term]]*2," ")))))</f>
        <v xml:space="preserve"> </v>
      </c>
      <c r="AG183" s="69"/>
      <c r="AH183" s="69"/>
      <c r="AI183" s="73"/>
      <c r="AJ183" s="73"/>
      <c r="AK183" s="73"/>
      <c r="AL183" s="69"/>
      <c r="AM183" s="69"/>
      <c r="AN183" s="120"/>
      <c r="AO183" s="76" t="b">
        <f>IF(K183 = "Lease",+PV(AN183/(AF183/Table3[[#This Row],[Assessed Term]]),AF183,-AI183,0,IF(AE183="Beginning",1,0)))</f>
        <v>0</v>
      </c>
      <c r="AP183" s="69"/>
      <c r="AQ183" s="76">
        <f t="shared" si="22"/>
        <v>0</v>
      </c>
      <c r="AR183" s="72"/>
    </row>
    <row r="184" spans="1:44">
      <c r="A184" s="69"/>
      <c r="B184" s="70"/>
      <c r="C184" s="69"/>
      <c r="D184" s="69"/>
      <c r="E184" s="69"/>
      <c r="F184" s="69"/>
      <c r="G184" s="69"/>
      <c r="H184" s="69"/>
      <c r="I184" s="69"/>
      <c r="J184" s="69"/>
      <c r="K184" t="str">
        <f t="shared" si="16"/>
        <v>Not a Lease</v>
      </c>
      <c r="L184" s="69"/>
      <c r="M184" s="69"/>
      <c r="N184" s="69"/>
      <c r="O184" s="69"/>
      <c r="P184" s="69"/>
      <c r="Q184" s="69"/>
      <c r="R184" s="69"/>
      <c r="S184" s="69"/>
      <c r="T184" s="69"/>
      <c r="U184" s="69"/>
      <c r="V184" s="69"/>
      <c r="W184" s="69"/>
      <c r="X184" s="69"/>
      <c r="Y184" s="69"/>
      <c r="Z184">
        <f t="shared" si="21"/>
        <v>0</v>
      </c>
      <c r="AA184">
        <f t="shared" si="17"/>
        <v>0</v>
      </c>
      <c r="AB184">
        <f t="shared" si="18"/>
        <v>0</v>
      </c>
      <c r="AC184">
        <f>+IF(Table3[[#This Row],[Do Both Parties have to agree for extension to occur?]]="Yes",0,IF(AND(W184="Yes",Q184="Yes"),IF(R184=X184,R184,MAX(R184,X184)),IF(AND(W184="Yes",OR(Q184="No",Q184="")),X184,IF(AND(OR(W184="No",W184=""),Q184="Yes"),R184,0))))</f>
        <v>0</v>
      </c>
      <c r="AD184" s="69"/>
      <c r="AE184" s="69"/>
      <c r="AF184" t="str">
        <f>IF(AD184="Monthly",Table3[[#This Row],[Assessed Term]]*12,IF(AD184="quarterly",Table3[[#This Row],[Assessed Term]]*4,IF(AD184="annually",Table3[[#This Row],[Assessed Term]]*1,IF(AD184="weekly",Table3[[#This Row],[Assessed Term]]*52,IF(AD184="semiannually",Table3[[#This Row],[Assessed Term]]*2," ")))))</f>
        <v xml:space="preserve"> </v>
      </c>
      <c r="AG184" s="69"/>
      <c r="AH184" s="69"/>
      <c r="AI184" s="73"/>
      <c r="AJ184" s="73"/>
      <c r="AK184" s="73"/>
      <c r="AL184" s="69"/>
      <c r="AM184" s="69"/>
      <c r="AN184" s="120"/>
      <c r="AO184" s="76" t="b">
        <f>IF(K184 = "Lease",+PV(AN184/(AF184/Table3[[#This Row],[Assessed Term]]),AF184,-AI184,0,IF(AE184="Beginning",1,0)))</f>
        <v>0</v>
      </c>
      <c r="AP184" s="69"/>
      <c r="AQ184" s="76">
        <f t="shared" si="22"/>
        <v>0</v>
      </c>
      <c r="AR184" s="72"/>
    </row>
    <row r="185" spans="1:44">
      <c r="A185" s="69"/>
      <c r="B185" s="70"/>
      <c r="C185" s="69"/>
      <c r="D185" s="69"/>
      <c r="E185" s="69"/>
      <c r="F185" s="69"/>
      <c r="G185" s="69"/>
      <c r="H185" s="69"/>
      <c r="I185" s="69"/>
      <c r="J185" s="69"/>
      <c r="K185" t="str">
        <f t="shared" si="16"/>
        <v>Not a Lease</v>
      </c>
      <c r="L185" s="69"/>
      <c r="M185" s="69"/>
      <c r="N185" s="69"/>
      <c r="O185" s="69"/>
      <c r="P185" s="69"/>
      <c r="Q185" s="69"/>
      <c r="R185" s="69"/>
      <c r="S185" s="69"/>
      <c r="T185" s="69"/>
      <c r="U185" s="69"/>
      <c r="V185" s="69"/>
      <c r="W185" s="69"/>
      <c r="X185" s="69"/>
      <c r="Y185" s="69"/>
      <c r="Z185">
        <f t="shared" si="21"/>
        <v>0</v>
      </c>
      <c r="AA185">
        <f t="shared" si="17"/>
        <v>0</v>
      </c>
      <c r="AB185">
        <f t="shared" si="18"/>
        <v>0</v>
      </c>
      <c r="AC185">
        <f>+IF(Table3[[#This Row],[Do Both Parties have to agree for extension to occur?]]="Yes",0,IF(AND(W185="Yes",Q185="Yes"),IF(R185=X185,R185,MAX(R185,X185)),IF(AND(W185="Yes",OR(Q185="No",Q185="")),X185,IF(AND(OR(W185="No",W185=""),Q185="Yes"),R185,0))))</f>
        <v>0</v>
      </c>
      <c r="AD185" s="69"/>
      <c r="AE185" s="69"/>
      <c r="AF185" t="str">
        <f>IF(AD185="Monthly",Table3[[#This Row],[Assessed Term]]*12,IF(AD185="quarterly",Table3[[#This Row],[Assessed Term]]*4,IF(AD185="annually",Table3[[#This Row],[Assessed Term]]*1,IF(AD185="weekly",Table3[[#This Row],[Assessed Term]]*52,IF(AD185="semiannually",Table3[[#This Row],[Assessed Term]]*2," ")))))</f>
        <v xml:space="preserve"> </v>
      </c>
      <c r="AG185" s="69"/>
      <c r="AH185" s="69"/>
      <c r="AI185" s="73"/>
      <c r="AJ185" s="73"/>
      <c r="AK185" s="73"/>
      <c r="AL185" s="69"/>
      <c r="AM185" s="69"/>
      <c r="AN185" s="120"/>
      <c r="AO185" s="76" t="b">
        <f>IF(K185 = "Lease",+PV(AN185/(AF185/Table3[[#This Row],[Assessed Term]]),AF185,-AI185,0,IF(AE185="Beginning",1,0)))</f>
        <v>0</v>
      </c>
      <c r="AP185" s="69"/>
      <c r="AQ185" s="76">
        <f t="shared" si="22"/>
        <v>0</v>
      </c>
      <c r="AR185" s="72"/>
    </row>
    <row r="186" spans="1:44">
      <c r="A186" s="69"/>
      <c r="B186" s="70"/>
      <c r="C186" s="69"/>
      <c r="D186" s="69"/>
      <c r="E186" s="69"/>
      <c r="F186" s="69"/>
      <c r="G186" s="69"/>
      <c r="H186" s="69"/>
      <c r="I186" s="69"/>
      <c r="J186" s="69"/>
      <c r="K186" t="str">
        <f t="shared" si="16"/>
        <v>Not a Lease</v>
      </c>
      <c r="L186" s="69"/>
      <c r="M186" s="69"/>
      <c r="N186" s="69"/>
      <c r="O186" s="69"/>
      <c r="P186" s="69"/>
      <c r="Q186" s="69"/>
      <c r="R186" s="69"/>
      <c r="S186" s="69"/>
      <c r="T186" s="69"/>
      <c r="U186" s="69"/>
      <c r="V186" s="69"/>
      <c r="W186" s="69"/>
      <c r="X186" s="69"/>
      <c r="Y186" s="69"/>
      <c r="Z186">
        <f t="shared" si="21"/>
        <v>0</v>
      </c>
      <c r="AA186">
        <f t="shared" si="17"/>
        <v>0</v>
      </c>
      <c r="AB186">
        <f t="shared" si="18"/>
        <v>0</v>
      </c>
      <c r="AC186">
        <f>+IF(Table3[[#This Row],[Do Both Parties have to agree for extension to occur?]]="Yes",0,IF(AND(W186="Yes",Q186="Yes"),IF(R186=X186,R186,MAX(R186,X186)),IF(AND(W186="Yes",OR(Q186="No",Q186="")),X186,IF(AND(OR(W186="No",W186=""),Q186="Yes"),R186,0))))</f>
        <v>0</v>
      </c>
      <c r="AD186" s="69"/>
      <c r="AE186" s="69"/>
      <c r="AF186" t="str">
        <f>IF(AD186="Monthly",Table3[[#This Row],[Assessed Term]]*12,IF(AD186="quarterly",Table3[[#This Row],[Assessed Term]]*4,IF(AD186="annually",Table3[[#This Row],[Assessed Term]]*1,IF(AD186="weekly",Table3[[#This Row],[Assessed Term]]*52,IF(AD186="semiannually",Table3[[#This Row],[Assessed Term]]*2," ")))))</f>
        <v xml:space="preserve"> </v>
      </c>
      <c r="AG186" s="69"/>
      <c r="AH186" s="69"/>
      <c r="AI186" s="73"/>
      <c r="AJ186" s="73"/>
      <c r="AK186" s="73"/>
      <c r="AL186" s="69"/>
      <c r="AM186" s="69"/>
      <c r="AN186" s="120"/>
      <c r="AO186" s="76" t="b">
        <f>IF(K186 = "Lease",+PV(AN186/(AF186/Table3[[#This Row],[Assessed Term]]),AF186,-AI186,0,IF(AE186="Beginning",1,0)))</f>
        <v>0</v>
      </c>
      <c r="AP186" s="69"/>
      <c r="AQ186" s="76">
        <f t="shared" si="22"/>
        <v>0</v>
      </c>
      <c r="AR186" s="72"/>
    </row>
    <row r="187" spans="1:44">
      <c r="A187" s="69"/>
      <c r="B187" s="70"/>
      <c r="C187" s="69"/>
      <c r="D187" s="69"/>
      <c r="E187" s="69"/>
      <c r="F187" s="69"/>
      <c r="G187" s="69"/>
      <c r="H187" s="69"/>
      <c r="I187" s="69"/>
      <c r="J187" s="69"/>
      <c r="K187" t="str">
        <f t="shared" si="16"/>
        <v>Not a Lease</v>
      </c>
      <c r="L187" s="69"/>
      <c r="M187" s="69"/>
      <c r="N187" s="69"/>
      <c r="O187" s="69"/>
      <c r="P187" s="69"/>
      <c r="Q187" s="69"/>
      <c r="R187" s="69"/>
      <c r="S187" s="69"/>
      <c r="T187" s="69"/>
      <c r="U187" s="69"/>
      <c r="V187" s="69"/>
      <c r="W187" s="69"/>
      <c r="X187" s="69"/>
      <c r="Y187" s="69"/>
      <c r="Z187">
        <f t="shared" si="21"/>
        <v>0</v>
      </c>
      <c r="AA187">
        <f t="shared" si="17"/>
        <v>0</v>
      </c>
      <c r="AB187">
        <f t="shared" si="18"/>
        <v>0</v>
      </c>
      <c r="AC187">
        <f>+IF(Table3[[#This Row],[Do Both Parties have to agree for extension to occur?]]="Yes",0,IF(AND(W187="Yes",Q187="Yes"),IF(R187=X187,R187,MAX(R187,X187)),IF(AND(W187="Yes",OR(Q187="No",Q187="")),X187,IF(AND(OR(W187="No",W187=""),Q187="Yes"),R187,0))))</f>
        <v>0</v>
      </c>
      <c r="AD187" s="69"/>
      <c r="AE187" s="69"/>
      <c r="AF187" t="str">
        <f>IF(AD187="Monthly",Table3[[#This Row],[Assessed Term]]*12,IF(AD187="quarterly",Table3[[#This Row],[Assessed Term]]*4,IF(AD187="annually",Table3[[#This Row],[Assessed Term]]*1,IF(AD187="weekly",Table3[[#This Row],[Assessed Term]]*52,IF(AD187="semiannually",Table3[[#This Row],[Assessed Term]]*2," ")))))</f>
        <v xml:space="preserve"> </v>
      </c>
      <c r="AG187" s="69"/>
      <c r="AH187" s="69"/>
      <c r="AI187" s="73"/>
      <c r="AJ187" s="73"/>
      <c r="AK187" s="73"/>
      <c r="AL187" s="69"/>
      <c r="AM187" s="69"/>
      <c r="AN187" s="120"/>
      <c r="AO187" s="76" t="b">
        <f>IF(K187 = "Lease",+PV(AN187/(AF187/Table3[[#This Row],[Assessed Term]]),AF187,-AI187,0,IF(AE187="Beginning",1,0)))</f>
        <v>0</v>
      </c>
      <c r="AP187" s="69"/>
      <c r="AQ187" s="76">
        <f t="shared" si="22"/>
        <v>0</v>
      </c>
      <c r="AR187" s="72"/>
    </row>
    <row r="188" spans="1:44">
      <c r="A188" s="69"/>
      <c r="B188" s="70"/>
      <c r="C188" s="69"/>
      <c r="D188" s="69"/>
      <c r="E188" s="69"/>
      <c r="F188" s="69"/>
      <c r="G188" s="69"/>
      <c r="H188" s="69"/>
      <c r="I188" s="69"/>
      <c r="J188" s="69"/>
      <c r="K188" t="str">
        <f t="shared" si="16"/>
        <v>Not a Lease</v>
      </c>
      <c r="L188" s="69"/>
      <c r="M188" s="69"/>
      <c r="N188" s="69"/>
      <c r="O188" s="69"/>
      <c r="P188" s="69"/>
      <c r="Q188" s="69"/>
      <c r="R188" s="69"/>
      <c r="S188" s="69"/>
      <c r="T188" s="69"/>
      <c r="U188" s="69"/>
      <c r="V188" s="69"/>
      <c r="W188" s="69"/>
      <c r="X188" s="69"/>
      <c r="Y188" s="69"/>
      <c r="Z188">
        <f t="shared" si="21"/>
        <v>0</v>
      </c>
      <c r="AA188">
        <f t="shared" si="17"/>
        <v>0</v>
      </c>
      <c r="AB188">
        <f t="shared" si="18"/>
        <v>0</v>
      </c>
      <c r="AC188">
        <f>+IF(Table3[[#This Row],[Do Both Parties have to agree for extension to occur?]]="Yes",0,IF(AND(W188="Yes",Q188="Yes"),IF(R188=X188,R188,MAX(R188,X188)),IF(AND(W188="Yes",OR(Q188="No",Q188="")),X188,IF(AND(OR(W188="No",W188=""),Q188="Yes"),R188,0))))</f>
        <v>0</v>
      </c>
      <c r="AD188" s="69"/>
      <c r="AE188" s="69"/>
      <c r="AF188" t="str">
        <f>IF(AD188="Monthly",Table3[[#This Row],[Assessed Term]]*12,IF(AD188="quarterly",Table3[[#This Row],[Assessed Term]]*4,IF(AD188="annually",Table3[[#This Row],[Assessed Term]]*1,IF(AD188="weekly",Table3[[#This Row],[Assessed Term]]*52,IF(AD188="semiannually",Table3[[#This Row],[Assessed Term]]*2," ")))))</f>
        <v xml:space="preserve"> </v>
      </c>
      <c r="AG188" s="69"/>
      <c r="AH188" s="69"/>
      <c r="AI188" s="73"/>
      <c r="AJ188" s="73"/>
      <c r="AK188" s="73"/>
      <c r="AL188" s="69"/>
      <c r="AM188" s="69"/>
      <c r="AN188" s="120"/>
      <c r="AO188" s="76" t="b">
        <f>IF(K188 = "Lease",+PV(AN188/(AF188/Table3[[#This Row],[Assessed Term]]),AF188,-AI188,0,IF(AE188="Beginning",1,0)))</f>
        <v>0</v>
      </c>
      <c r="AP188" s="69"/>
      <c r="AQ188" s="76">
        <f t="shared" si="22"/>
        <v>0</v>
      </c>
      <c r="AR188" s="72"/>
    </row>
    <row r="189" spans="1:44">
      <c r="A189" s="69"/>
      <c r="B189" s="70"/>
      <c r="C189" s="69"/>
      <c r="D189" s="69"/>
      <c r="E189" s="69"/>
      <c r="F189" s="69"/>
      <c r="G189" s="69"/>
      <c r="H189" s="69"/>
      <c r="I189" s="69"/>
      <c r="J189" s="69"/>
      <c r="K189" t="str">
        <f t="shared" si="16"/>
        <v>Not a Lease</v>
      </c>
      <c r="L189" s="69"/>
      <c r="M189" s="69"/>
      <c r="N189" s="69"/>
      <c r="O189" s="69"/>
      <c r="P189" s="69"/>
      <c r="Q189" s="69"/>
      <c r="R189" s="69"/>
      <c r="S189" s="69"/>
      <c r="T189" s="69"/>
      <c r="U189" s="69"/>
      <c r="V189" s="69"/>
      <c r="W189" s="69"/>
      <c r="X189" s="69"/>
      <c r="Y189" s="69"/>
      <c r="Z189">
        <f t="shared" si="21"/>
        <v>0</v>
      </c>
      <c r="AA189">
        <f t="shared" si="17"/>
        <v>0</v>
      </c>
      <c r="AB189">
        <f t="shared" si="18"/>
        <v>0</v>
      </c>
      <c r="AC189">
        <f>+IF(Table3[[#This Row],[Do Both Parties have to agree for extension to occur?]]="Yes",0,IF(AND(W189="Yes",Q189="Yes"),IF(R189=X189,R189,MAX(R189,X189)),IF(AND(W189="Yes",OR(Q189="No",Q189="")),X189,IF(AND(OR(W189="No",W189=""),Q189="Yes"),R189,0))))</f>
        <v>0</v>
      </c>
      <c r="AD189" s="69"/>
      <c r="AE189" s="69"/>
      <c r="AF189" t="str">
        <f>IF(AD189="Monthly",Table3[[#This Row],[Assessed Term]]*12,IF(AD189="quarterly",Table3[[#This Row],[Assessed Term]]*4,IF(AD189="annually",Table3[[#This Row],[Assessed Term]]*1,IF(AD189="weekly",Table3[[#This Row],[Assessed Term]]*52,IF(AD189="semiannually",Table3[[#This Row],[Assessed Term]]*2," ")))))</f>
        <v xml:space="preserve"> </v>
      </c>
      <c r="AG189" s="69"/>
      <c r="AH189" s="69"/>
      <c r="AI189" s="73"/>
      <c r="AJ189" s="73"/>
      <c r="AK189" s="73"/>
      <c r="AL189" s="69"/>
      <c r="AM189" s="69"/>
      <c r="AN189" s="120"/>
      <c r="AO189" s="76" t="b">
        <f>IF(K189 = "Lease",+PV(AN189/(AF189/Table3[[#This Row],[Assessed Term]]),AF189,-AI189,0,IF(AE189="Beginning",1,0)))</f>
        <v>0</v>
      </c>
      <c r="AP189" s="69"/>
      <c r="AQ189" s="76">
        <f t="shared" si="22"/>
        <v>0</v>
      </c>
      <c r="AR189" s="72"/>
    </row>
    <row r="190" spans="1:44">
      <c r="A190" s="69"/>
      <c r="B190" s="70"/>
      <c r="C190" s="69"/>
      <c r="D190" s="69"/>
      <c r="E190" s="69"/>
      <c r="F190" s="69"/>
      <c r="G190" s="69"/>
      <c r="H190" s="69"/>
      <c r="I190" s="69"/>
      <c r="J190" s="69"/>
      <c r="K190" t="str">
        <f t="shared" si="16"/>
        <v>Not a Lease</v>
      </c>
      <c r="L190" s="69"/>
      <c r="M190" s="69"/>
      <c r="N190" s="69"/>
      <c r="O190" s="69"/>
      <c r="P190" s="69"/>
      <c r="Q190" s="69"/>
      <c r="R190" s="69"/>
      <c r="S190" s="69"/>
      <c r="T190" s="69"/>
      <c r="U190" s="69"/>
      <c r="V190" s="69"/>
      <c r="W190" s="69"/>
      <c r="X190" s="69"/>
      <c r="Y190" s="69"/>
      <c r="Z190">
        <f t="shared" si="21"/>
        <v>0</v>
      </c>
      <c r="AA190">
        <f t="shared" si="17"/>
        <v>0</v>
      </c>
      <c r="AB190">
        <f t="shared" si="18"/>
        <v>0</v>
      </c>
      <c r="AC190">
        <f>+IF(Table3[[#This Row],[Do Both Parties have to agree for extension to occur?]]="Yes",0,IF(AND(W190="Yes",Q190="Yes"),IF(R190=X190,R190,MAX(R190,X190)),IF(AND(W190="Yes",OR(Q190="No",Q190="")),X190,IF(AND(OR(W190="No",W190=""),Q190="Yes"),R190,0))))</f>
        <v>0</v>
      </c>
      <c r="AD190" s="69"/>
      <c r="AE190" s="69"/>
      <c r="AF190" t="str">
        <f>IF(AD190="Monthly",Table3[[#This Row],[Assessed Term]]*12,IF(AD190="quarterly",Table3[[#This Row],[Assessed Term]]*4,IF(AD190="annually",Table3[[#This Row],[Assessed Term]]*1,IF(AD190="weekly",Table3[[#This Row],[Assessed Term]]*52,IF(AD190="semiannually",Table3[[#This Row],[Assessed Term]]*2," ")))))</f>
        <v xml:space="preserve"> </v>
      </c>
      <c r="AG190" s="69"/>
      <c r="AH190" s="69"/>
      <c r="AI190" s="73"/>
      <c r="AJ190" s="73"/>
      <c r="AK190" s="73"/>
      <c r="AL190" s="69"/>
      <c r="AM190" s="69"/>
      <c r="AN190" s="120"/>
      <c r="AO190" s="76" t="b">
        <f>IF(K190 = "Lease",+PV(AN190/(AF190/Table3[[#This Row],[Assessed Term]]),AF190,-AI190,0,IF(AE190="Beginning",1,0)))</f>
        <v>0</v>
      </c>
      <c r="AP190" s="69"/>
      <c r="AQ190" s="76">
        <f t="shared" si="22"/>
        <v>0</v>
      </c>
      <c r="AR190" s="72"/>
    </row>
    <row r="191" spans="1:44">
      <c r="A191" s="69"/>
      <c r="B191" s="70"/>
      <c r="C191" s="69"/>
      <c r="D191" s="69"/>
      <c r="E191" s="69"/>
      <c r="F191" s="69"/>
      <c r="G191" s="69"/>
      <c r="H191" s="69"/>
      <c r="I191" s="69"/>
      <c r="J191" s="69"/>
      <c r="K191" t="str">
        <f t="shared" si="16"/>
        <v>Not a Lease</v>
      </c>
      <c r="L191" s="69"/>
      <c r="M191" s="69"/>
      <c r="N191" s="69"/>
      <c r="O191" s="69"/>
      <c r="P191" s="69"/>
      <c r="Q191" s="69"/>
      <c r="R191" s="69"/>
      <c r="S191" s="69"/>
      <c r="T191" s="69"/>
      <c r="U191" s="69"/>
      <c r="V191" s="69"/>
      <c r="W191" s="69"/>
      <c r="X191" s="69"/>
      <c r="Y191" s="69"/>
      <c r="Z191">
        <f t="shared" si="21"/>
        <v>0</v>
      </c>
      <c r="AA191">
        <f t="shared" si="17"/>
        <v>0</v>
      </c>
      <c r="AB191">
        <f t="shared" si="18"/>
        <v>0</v>
      </c>
      <c r="AC191">
        <f>+IF(Table3[[#This Row],[Do Both Parties have to agree for extension to occur?]]="Yes",0,IF(AND(W191="Yes",Q191="Yes"),IF(R191=X191,R191,MAX(R191,X191)),IF(AND(W191="Yes",OR(Q191="No",Q191="")),X191,IF(AND(OR(W191="No",W191=""),Q191="Yes"),R191,0))))</f>
        <v>0</v>
      </c>
      <c r="AD191" s="69"/>
      <c r="AE191" s="69"/>
      <c r="AF191" t="str">
        <f>IF(AD191="Monthly",Table3[[#This Row],[Assessed Term]]*12,IF(AD191="quarterly",Table3[[#This Row],[Assessed Term]]*4,IF(AD191="annually",Table3[[#This Row],[Assessed Term]]*1,IF(AD191="weekly",Table3[[#This Row],[Assessed Term]]*52,IF(AD191="semiannually",Table3[[#This Row],[Assessed Term]]*2," ")))))</f>
        <v xml:space="preserve"> </v>
      </c>
      <c r="AG191" s="69"/>
      <c r="AH191" s="69"/>
      <c r="AI191" s="73"/>
      <c r="AJ191" s="73"/>
      <c r="AK191" s="73"/>
      <c r="AL191" s="69"/>
      <c r="AM191" s="69"/>
      <c r="AN191" s="120"/>
      <c r="AO191" s="76" t="b">
        <f>IF(K191 = "Lease",+PV(AN191/(AF191/Table3[[#This Row],[Assessed Term]]),AF191,-AI191,0,IF(AE191="Beginning",1,0)))</f>
        <v>0</v>
      </c>
      <c r="AP191" s="69"/>
      <c r="AQ191" s="76">
        <f t="shared" si="22"/>
        <v>0</v>
      </c>
      <c r="AR191" s="72"/>
    </row>
    <row r="192" spans="1:44">
      <c r="A192" s="69"/>
      <c r="B192" s="70"/>
      <c r="C192" s="69"/>
      <c r="D192" s="69"/>
      <c r="E192" s="69"/>
      <c r="F192" s="69"/>
      <c r="G192" s="69"/>
      <c r="H192" s="69"/>
      <c r="I192" s="69"/>
      <c r="J192" s="69"/>
      <c r="K192" t="str">
        <f t="shared" si="16"/>
        <v>Not a Lease</v>
      </c>
      <c r="L192" s="69"/>
      <c r="M192" s="69"/>
      <c r="N192" s="69"/>
      <c r="O192" s="69"/>
      <c r="P192" s="69"/>
      <c r="Q192" s="69"/>
      <c r="R192" s="69"/>
      <c r="S192" s="69"/>
      <c r="T192" s="69"/>
      <c r="U192" s="69"/>
      <c r="V192" s="69"/>
      <c r="W192" s="69"/>
      <c r="X192" s="69"/>
      <c r="Y192" s="69"/>
      <c r="Z192">
        <f t="shared" si="21"/>
        <v>0</v>
      </c>
      <c r="AA192">
        <f t="shared" si="17"/>
        <v>0</v>
      </c>
      <c r="AB192">
        <f t="shared" si="18"/>
        <v>0</v>
      </c>
      <c r="AC192">
        <f>+IF(Table3[[#This Row],[Do Both Parties have to agree for extension to occur?]]="Yes",0,IF(AND(W192="Yes",Q192="Yes"),IF(R192=X192,R192,MAX(R192,X192)),IF(AND(W192="Yes",OR(Q192="No",Q192="")),X192,IF(AND(OR(W192="No",W192=""),Q192="Yes"),R192,0))))</f>
        <v>0</v>
      </c>
      <c r="AD192" s="69"/>
      <c r="AE192" s="69"/>
      <c r="AF192" t="str">
        <f>IF(AD192="Monthly",Table3[[#This Row],[Assessed Term]]*12,IF(AD192="quarterly",Table3[[#This Row],[Assessed Term]]*4,IF(AD192="annually",Table3[[#This Row],[Assessed Term]]*1,IF(AD192="weekly",Table3[[#This Row],[Assessed Term]]*52,IF(AD192="semiannually",Table3[[#This Row],[Assessed Term]]*2," ")))))</f>
        <v xml:space="preserve"> </v>
      </c>
      <c r="AG192" s="69"/>
      <c r="AH192" s="69"/>
      <c r="AI192" s="73"/>
      <c r="AJ192" s="73"/>
      <c r="AK192" s="73"/>
      <c r="AL192" s="69"/>
      <c r="AM192" s="69"/>
      <c r="AN192" s="120"/>
      <c r="AO192" s="76" t="b">
        <f>IF(K192 = "Lease",+PV(AN192/(AF192/Table3[[#This Row],[Assessed Term]]),AF192,-AI192,0,IF(AE192="Beginning",1,0)))</f>
        <v>0</v>
      </c>
      <c r="AP192" s="69"/>
      <c r="AQ192" s="76">
        <f t="shared" si="22"/>
        <v>0</v>
      </c>
      <c r="AR192" s="72"/>
    </row>
    <row r="193" spans="1:44">
      <c r="A193" s="69"/>
      <c r="B193" s="70"/>
      <c r="C193" s="69"/>
      <c r="D193" s="69"/>
      <c r="E193" s="69"/>
      <c r="F193" s="69"/>
      <c r="G193" s="69"/>
      <c r="H193" s="69"/>
      <c r="I193" s="69"/>
      <c r="J193" s="69"/>
      <c r="K193" t="str">
        <f t="shared" si="16"/>
        <v>Not a Lease</v>
      </c>
      <c r="L193" s="69"/>
      <c r="M193" s="69"/>
      <c r="N193" s="69"/>
      <c r="O193" s="69"/>
      <c r="P193" s="69"/>
      <c r="Q193" s="69"/>
      <c r="R193" s="69"/>
      <c r="S193" s="69"/>
      <c r="T193" s="69"/>
      <c r="U193" s="69"/>
      <c r="V193" s="69"/>
      <c r="W193" s="69"/>
      <c r="X193" s="69"/>
      <c r="Y193" s="69"/>
      <c r="Z193">
        <f t="shared" si="21"/>
        <v>0</v>
      </c>
      <c r="AA193">
        <f t="shared" si="17"/>
        <v>0</v>
      </c>
      <c r="AB193">
        <f t="shared" si="18"/>
        <v>0</v>
      </c>
      <c r="AC193">
        <f>+IF(Table3[[#This Row],[Do Both Parties have to agree for extension to occur?]]="Yes",0,IF(AND(W193="Yes",Q193="Yes"),IF(R193=X193,R193,MAX(R193,X193)),IF(AND(W193="Yes",OR(Q193="No",Q193="")),X193,IF(AND(OR(W193="No",W193=""),Q193="Yes"),R193,0))))</f>
        <v>0</v>
      </c>
      <c r="AD193" s="69"/>
      <c r="AE193" s="69"/>
      <c r="AF193" t="str">
        <f>IF(AD193="Monthly",Table3[[#This Row],[Assessed Term]]*12,IF(AD193="quarterly",Table3[[#This Row],[Assessed Term]]*4,IF(AD193="annually",Table3[[#This Row],[Assessed Term]]*1,IF(AD193="weekly",Table3[[#This Row],[Assessed Term]]*52,IF(AD193="semiannually",Table3[[#This Row],[Assessed Term]]*2," ")))))</f>
        <v xml:space="preserve"> </v>
      </c>
      <c r="AG193" s="69"/>
      <c r="AH193" s="69"/>
      <c r="AI193" s="73"/>
      <c r="AJ193" s="73"/>
      <c r="AK193" s="73"/>
      <c r="AL193" s="69"/>
      <c r="AM193" s="69"/>
      <c r="AN193" s="120"/>
      <c r="AO193" s="76" t="b">
        <f>IF(K193 = "Lease",+PV(AN193/(AF193/Table3[[#This Row],[Assessed Term]]),AF193,-AI193,0,IF(AE193="Beginning",1,0)))</f>
        <v>0</v>
      </c>
      <c r="AP193" s="69"/>
      <c r="AQ193" s="76">
        <f t="shared" si="22"/>
        <v>0</v>
      </c>
      <c r="AR193" s="72"/>
    </row>
    <row r="194" spans="1:44">
      <c r="A194" s="69"/>
      <c r="B194" s="70"/>
      <c r="C194" s="69"/>
      <c r="D194" s="69"/>
      <c r="E194" s="69"/>
      <c r="F194" s="69"/>
      <c r="G194" s="69"/>
      <c r="H194" s="69"/>
      <c r="I194" s="69"/>
      <c r="J194" s="69"/>
      <c r="K194" t="str">
        <f t="shared" si="16"/>
        <v>Not a Lease</v>
      </c>
      <c r="L194" s="69"/>
      <c r="M194" s="69"/>
      <c r="N194" s="69"/>
      <c r="O194" s="69"/>
      <c r="P194" s="69"/>
      <c r="Q194" s="69"/>
      <c r="R194" s="69"/>
      <c r="S194" s="69"/>
      <c r="T194" s="69"/>
      <c r="U194" s="69"/>
      <c r="V194" s="69"/>
      <c r="W194" s="69"/>
      <c r="X194" s="69"/>
      <c r="Y194" s="69"/>
      <c r="Z194">
        <f t="shared" si="21"/>
        <v>0</v>
      </c>
      <c r="AA194">
        <f t="shared" si="17"/>
        <v>0</v>
      </c>
      <c r="AB194">
        <f t="shared" si="18"/>
        <v>0</v>
      </c>
      <c r="AC194">
        <f>+IF(Table3[[#This Row],[Do Both Parties have to agree for extension to occur?]]="Yes",0,IF(AND(W194="Yes",Q194="Yes"),IF(R194=X194,R194,MAX(R194,X194)),IF(AND(W194="Yes",OR(Q194="No",Q194="")),X194,IF(AND(OR(W194="No",W194=""),Q194="Yes"),R194,0))))</f>
        <v>0</v>
      </c>
      <c r="AD194" s="69"/>
      <c r="AE194" s="69"/>
      <c r="AF194" t="str">
        <f>IF(AD194="Monthly",Table3[[#This Row],[Assessed Term]]*12,IF(AD194="quarterly",Table3[[#This Row],[Assessed Term]]*4,IF(AD194="annually",Table3[[#This Row],[Assessed Term]]*1,IF(AD194="weekly",Table3[[#This Row],[Assessed Term]]*52,IF(AD194="semiannually",Table3[[#This Row],[Assessed Term]]*2," ")))))</f>
        <v xml:space="preserve"> </v>
      </c>
      <c r="AG194" s="69"/>
      <c r="AH194" s="69"/>
      <c r="AI194" s="73"/>
      <c r="AJ194" s="73"/>
      <c r="AK194" s="73"/>
      <c r="AL194" s="69"/>
      <c r="AM194" s="69"/>
      <c r="AN194" s="120"/>
      <c r="AO194" s="76" t="b">
        <f>IF(K194 = "Lease",+PV(AN194/(AF194/Table3[[#This Row],[Assessed Term]]),AF194,-AI194,0,IF(AE194="Beginning",1,0)))</f>
        <v>0</v>
      </c>
      <c r="AP194" s="69"/>
      <c r="AQ194" s="76">
        <f t="shared" si="22"/>
        <v>0</v>
      </c>
      <c r="AR194" s="72"/>
    </row>
    <row r="195" spans="1:44">
      <c r="A195" s="69"/>
      <c r="B195" s="70"/>
      <c r="C195" s="69"/>
      <c r="D195" s="69"/>
      <c r="E195" s="69"/>
      <c r="F195" s="69"/>
      <c r="G195" s="69"/>
      <c r="H195" s="69"/>
      <c r="I195" s="69"/>
      <c r="J195" s="69"/>
      <c r="K195" t="str">
        <f t="shared" si="16"/>
        <v>Not a Lease</v>
      </c>
      <c r="L195" s="69"/>
      <c r="M195" s="69"/>
      <c r="N195" s="69"/>
      <c r="O195" s="69"/>
      <c r="P195" s="69"/>
      <c r="Q195" s="69"/>
      <c r="R195" s="69"/>
      <c r="S195" s="69"/>
      <c r="T195" s="69"/>
      <c r="U195" s="69"/>
      <c r="V195" s="69"/>
      <c r="W195" s="69"/>
      <c r="X195" s="69"/>
      <c r="Y195" s="69"/>
      <c r="Z195">
        <f t="shared" si="21"/>
        <v>0</v>
      </c>
      <c r="AA195">
        <f t="shared" si="17"/>
        <v>0</v>
      </c>
      <c r="AB195">
        <f t="shared" si="18"/>
        <v>0</v>
      </c>
      <c r="AC195">
        <f>+IF(Table3[[#This Row],[Do Both Parties have to agree for extension to occur?]]="Yes",0,IF(AND(W195="Yes",Q195="Yes"),IF(R195=X195,R195,MAX(R195,X195)),IF(AND(W195="Yes",OR(Q195="No",Q195="")),X195,IF(AND(OR(W195="No",W195=""),Q195="Yes"),R195,0))))</f>
        <v>0</v>
      </c>
      <c r="AD195" s="69"/>
      <c r="AE195" s="69"/>
      <c r="AF195" t="str">
        <f>IF(AD195="Monthly",Table3[[#This Row],[Assessed Term]]*12,IF(AD195="quarterly",Table3[[#This Row],[Assessed Term]]*4,IF(AD195="annually",Table3[[#This Row],[Assessed Term]]*1,IF(AD195="weekly",Table3[[#This Row],[Assessed Term]]*52,IF(AD195="semiannually",Table3[[#This Row],[Assessed Term]]*2," ")))))</f>
        <v xml:space="preserve"> </v>
      </c>
      <c r="AG195" s="69"/>
      <c r="AH195" s="69"/>
      <c r="AI195" s="73"/>
      <c r="AJ195" s="73"/>
      <c r="AK195" s="73"/>
      <c r="AL195" s="69"/>
      <c r="AM195" s="69"/>
      <c r="AN195" s="120"/>
      <c r="AO195" s="76" t="b">
        <f>IF(K195 = "Lease",+PV(AN195/(AF195/Table3[[#This Row],[Assessed Term]]),AF195,-AI195,0,IF(AE195="Beginning",1,0)))</f>
        <v>0</v>
      </c>
      <c r="AP195" s="69"/>
      <c r="AQ195" s="76">
        <f t="shared" si="22"/>
        <v>0</v>
      </c>
      <c r="AR195" s="72"/>
    </row>
    <row r="196" spans="1:44">
      <c r="A196" s="69"/>
      <c r="B196" s="70"/>
      <c r="C196" s="69"/>
      <c r="D196" s="69"/>
      <c r="E196" s="69"/>
      <c r="F196" s="69"/>
      <c r="G196" s="69"/>
      <c r="H196" s="69"/>
      <c r="I196" s="69"/>
      <c r="J196" s="69"/>
      <c r="K196" t="str">
        <f t="shared" ref="K196:K259" si="23">+IF(AND(F196="yes",G196="yes", H196="no",E196&lt;&gt;"Intangible Asset",E196&lt;&gt;"Service",I196 ="yes", E196&lt;&gt;"Investment", E196&lt;&gt;"Inventory",J196&lt;&gt;"Yes",E196&lt;&gt;""),"Lease","Not a Lease")</f>
        <v>Not a Lease</v>
      </c>
      <c r="L196" s="69"/>
      <c r="M196" s="69"/>
      <c r="N196" s="69"/>
      <c r="O196" s="69"/>
      <c r="P196" s="69"/>
      <c r="Q196" s="69"/>
      <c r="R196" s="69"/>
      <c r="S196" s="69"/>
      <c r="T196" s="69"/>
      <c r="U196" s="69"/>
      <c r="V196" s="69"/>
      <c r="W196" s="69"/>
      <c r="X196" s="69"/>
      <c r="Y196" s="69"/>
      <c r="Z196">
        <f t="shared" si="21"/>
        <v>0</v>
      </c>
      <c r="AA196">
        <f t="shared" ref="AA196:AA259" si="24">+IF(AND(S196="Yes",M196="Yes"),IF(OR(O196=U196,O196&lt;U196),U196,O196),L196)</f>
        <v>0</v>
      </c>
      <c r="AB196">
        <f t="shared" ref="AB196:AB259" si="25">+IF(M196=S196,MAX(O196,U196),(IF(OR(T196="yes",N196="Yes"),MIN(O196,U196),IF(AND(T196="Yes",N196="No"),U196,IF(AND(T196="No",N196="Yes"),O196,0)))))</f>
        <v>0</v>
      </c>
      <c r="AC196">
        <f>+IF(Table3[[#This Row],[Do Both Parties have to agree for extension to occur?]]="Yes",0,IF(AND(W196="Yes",Q196="Yes"),IF(R196=X196,R196,MAX(R196,X196)),IF(AND(W196="Yes",OR(Q196="No",Q196="")),X196,IF(AND(OR(W196="No",W196=""),Q196="Yes"),R196,0))))</f>
        <v>0</v>
      </c>
      <c r="AD196" s="69"/>
      <c r="AE196" s="69"/>
      <c r="AF196" t="str">
        <f>IF(AD196="Monthly",Table3[[#This Row],[Assessed Term]]*12,IF(AD196="quarterly",Table3[[#This Row],[Assessed Term]]*4,IF(AD196="annually",Table3[[#This Row],[Assessed Term]]*1,IF(AD196="weekly",Table3[[#This Row],[Assessed Term]]*52,IF(AD196="semiannually",Table3[[#This Row],[Assessed Term]]*2," ")))))</f>
        <v xml:space="preserve"> </v>
      </c>
      <c r="AG196" s="69"/>
      <c r="AH196" s="69"/>
      <c r="AI196" s="73"/>
      <c r="AJ196" s="73"/>
      <c r="AK196" s="73"/>
      <c r="AL196" s="69"/>
      <c r="AM196" s="69"/>
      <c r="AN196" s="120"/>
      <c r="AO196" s="76" t="b">
        <f>IF(K196 = "Lease",+PV(AN196/(AF196/Table3[[#This Row],[Assessed Term]]),AF196,-AI196,0,IF(AE196="Beginning",1,0)))</f>
        <v>0</v>
      </c>
      <c r="AP196" s="69"/>
      <c r="AQ196" s="76">
        <f t="shared" si="22"/>
        <v>0</v>
      </c>
      <c r="AR196" s="72"/>
    </row>
    <row r="197" spans="1:44">
      <c r="A197" s="69"/>
      <c r="B197" s="70"/>
      <c r="C197" s="69"/>
      <c r="D197" s="69"/>
      <c r="E197" s="69"/>
      <c r="F197" s="69"/>
      <c r="G197" s="69"/>
      <c r="H197" s="69"/>
      <c r="I197" s="69"/>
      <c r="J197" s="69"/>
      <c r="K197" t="str">
        <f t="shared" si="23"/>
        <v>Not a Lease</v>
      </c>
      <c r="L197" s="69"/>
      <c r="M197" s="69"/>
      <c r="N197" s="69"/>
      <c r="O197" s="69"/>
      <c r="P197" s="69"/>
      <c r="Q197" s="69"/>
      <c r="R197" s="69"/>
      <c r="S197" s="69"/>
      <c r="T197" s="69"/>
      <c r="U197" s="69"/>
      <c r="V197" s="69"/>
      <c r="W197" s="69"/>
      <c r="X197" s="69"/>
      <c r="Y197" s="69"/>
      <c r="Z197">
        <f t="shared" si="21"/>
        <v>0</v>
      </c>
      <c r="AA197">
        <f t="shared" si="24"/>
        <v>0</v>
      </c>
      <c r="AB197">
        <f t="shared" si="25"/>
        <v>0</v>
      </c>
      <c r="AC197">
        <f>+IF(Table3[[#This Row],[Do Both Parties have to agree for extension to occur?]]="Yes",0,IF(AND(W197="Yes",Q197="Yes"),IF(R197=X197,R197,MAX(R197,X197)),IF(AND(W197="Yes",OR(Q197="No",Q197="")),X197,IF(AND(OR(W197="No",W197=""),Q197="Yes"),R197,0))))</f>
        <v>0</v>
      </c>
      <c r="AD197" s="69"/>
      <c r="AE197" s="69"/>
      <c r="AF197" t="str">
        <f>IF(AD197="Monthly",Table3[[#This Row],[Assessed Term]]*12,IF(AD197="quarterly",Table3[[#This Row],[Assessed Term]]*4,IF(AD197="annually",Table3[[#This Row],[Assessed Term]]*1,IF(AD197="weekly",Table3[[#This Row],[Assessed Term]]*52,IF(AD197="semiannually",Table3[[#This Row],[Assessed Term]]*2," ")))))</f>
        <v xml:space="preserve"> </v>
      </c>
      <c r="AG197" s="69"/>
      <c r="AH197" s="69"/>
      <c r="AI197" s="73"/>
      <c r="AJ197" s="73"/>
      <c r="AK197" s="73"/>
      <c r="AL197" s="69"/>
      <c r="AM197" s="69"/>
      <c r="AN197" s="120"/>
      <c r="AO197" s="76" t="b">
        <f>IF(K197 = "Lease",+PV(AN197/(AF197/Table3[[#This Row],[Assessed Term]]),AF197,-AI197,0,IF(AE197="Beginning",1,0)))</f>
        <v>0</v>
      </c>
      <c r="AP197" s="69"/>
      <c r="AQ197" s="76">
        <f t="shared" si="22"/>
        <v>0</v>
      </c>
      <c r="AR197" s="72"/>
    </row>
    <row r="198" spans="1:44">
      <c r="A198" s="69"/>
      <c r="B198" s="70"/>
      <c r="C198" s="69"/>
      <c r="D198" s="69"/>
      <c r="E198" s="69"/>
      <c r="F198" s="69"/>
      <c r="G198" s="69"/>
      <c r="H198" s="69"/>
      <c r="I198" s="69"/>
      <c r="J198" s="69"/>
      <c r="K198" t="str">
        <f t="shared" si="23"/>
        <v>Not a Lease</v>
      </c>
      <c r="L198" s="69"/>
      <c r="M198" s="69"/>
      <c r="N198" s="69"/>
      <c r="O198" s="69"/>
      <c r="P198" s="69"/>
      <c r="Q198" s="69"/>
      <c r="R198" s="69"/>
      <c r="S198" s="69"/>
      <c r="T198" s="69"/>
      <c r="U198" s="69"/>
      <c r="V198" s="69"/>
      <c r="W198" s="69"/>
      <c r="X198" s="69"/>
      <c r="Y198" s="69"/>
      <c r="Z198">
        <f t="shared" si="21"/>
        <v>0</v>
      </c>
      <c r="AA198">
        <f t="shared" si="24"/>
        <v>0</v>
      </c>
      <c r="AB198">
        <f t="shared" si="25"/>
        <v>0</v>
      </c>
      <c r="AC198">
        <f>+IF(Table3[[#This Row],[Do Both Parties have to agree for extension to occur?]]="Yes",0,IF(AND(W198="Yes",Q198="Yes"),IF(R198=X198,R198,MAX(R198,X198)),IF(AND(W198="Yes",OR(Q198="No",Q198="")),X198,IF(AND(OR(W198="No",W198=""),Q198="Yes"),R198,0))))</f>
        <v>0</v>
      </c>
      <c r="AD198" s="69"/>
      <c r="AE198" s="69"/>
      <c r="AF198" t="str">
        <f>IF(AD198="Monthly",Table3[[#This Row],[Assessed Term]]*12,IF(AD198="quarterly",Table3[[#This Row],[Assessed Term]]*4,IF(AD198="annually",Table3[[#This Row],[Assessed Term]]*1,IF(AD198="weekly",Table3[[#This Row],[Assessed Term]]*52,IF(AD198="semiannually",Table3[[#This Row],[Assessed Term]]*2," ")))))</f>
        <v xml:space="preserve"> </v>
      </c>
      <c r="AG198" s="69"/>
      <c r="AH198" s="69"/>
      <c r="AI198" s="73"/>
      <c r="AJ198" s="73"/>
      <c r="AK198" s="73"/>
      <c r="AL198" s="69"/>
      <c r="AM198" s="69"/>
      <c r="AN198" s="120"/>
      <c r="AO198" s="76" t="b">
        <f>IF(K198 = "Lease",+PV(AN198/(AF198/Table3[[#This Row],[Assessed Term]]),AF198,-AI198,0,IF(AE198="Beginning",1,0)))</f>
        <v>0</v>
      </c>
      <c r="AP198" s="69"/>
      <c r="AQ198" s="76">
        <f t="shared" si="22"/>
        <v>0</v>
      </c>
      <c r="AR198" s="72"/>
    </row>
    <row r="199" spans="1:44">
      <c r="A199" s="69"/>
      <c r="B199" s="70"/>
      <c r="C199" s="69"/>
      <c r="D199" s="69"/>
      <c r="E199" s="69"/>
      <c r="F199" s="69"/>
      <c r="G199" s="69"/>
      <c r="H199" s="69"/>
      <c r="I199" s="69"/>
      <c r="J199" s="69"/>
      <c r="K199" t="str">
        <f t="shared" si="23"/>
        <v>Not a Lease</v>
      </c>
      <c r="L199" s="69"/>
      <c r="M199" s="69"/>
      <c r="N199" s="69"/>
      <c r="O199" s="69"/>
      <c r="P199" s="69"/>
      <c r="Q199" s="69"/>
      <c r="R199" s="69"/>
      <c r="S199" s="69"/>
      <c r="T199" s="69"/>
      <c r="U199" s="69"/>
      <c r="V199" s="69"/>
      <c r="W199" s="69"/>
      <c r="X199" s="69"/>
      <c r="Y199" s="69"/>
      <c r="Z199">
        <f t="shared" si="21"/>
        <v>0</v>
      </c>
      <c r="AA199">
        <f t="shared" si="24"/>
        <v>0</v>
      </c>
      <c r="AB199">
        <f t="shared" si="25"/>
        <v>0</v>
      </c>
      <c r="AC199">
        <f>+IF(Table3[[#This Row],[Do Both Parties have to agree for extension to occur?]]="Yes",0,IF(AND(W199="Yes",Q199="Yes"),IF(R199=X199,R199,MAX(R199,X199)),IF(AND(W199="Yes",OR(Q199="No",Q199="")),X199,IF(AND(OR(W199="No",W199=""),Q199="Yes"),R199,0))))</f>
        <v>0</v>
      </c>
      <c r="AD199" s="69"/>
      <c r="AE199" s="69"/>
      <c r="AF199" t="str">
        <f>IF(AD199="Monthly",Table3[[#This Row],[Assessed Term]]*12,IF(AD199="quarterly",Table3[[#This Row],[Assessed Term]]*4,IF(AD199="annually",Table3[[#This Row],[Assessed Term]]*1,IF(AD199="weekly",Table3[[#This Row],[Assessed Term]]*52,IF(AD199="semiannually",Table3[[#This Row],[Assessed Term]]*2," ")))))</f>
        <v xml:space="preserve"> </v>
      </c>
      <c r="AG199" s="69"/>
      <c r="AH199" s="69"/>
      <c r="AI199" s="73"/>
      <c r="AJ199" s="73"/>
      <c r="AK199" s="73"/>
      <c r="AL199" s="69"/>
      <c r="AM199" s="69"/>
      <c r="AN199" s="120"/>
      <c r="AO199" s="76" t="b">
        <f>IF(K199 = "Lease",+PV(AN199/(AF199/Table3[[#This Row],[Assessed Term]]),AF199,-AI199,0,IF(AE199="Beginning",1,0)))</f>
        <v>0</v>
      </c>
      <c r="AP199" s="69"/>
      <c r="AQ199" s="76">
        <f t="shared" si="22"/>
        <v>0</v>
      </c>
      <c r="AR199" s="72"/>
    </row>
    <row r="200" spans="1:44">
      <c r="A200" s="69"/>
      <c r="B200" s="70"/>
      <c r="C200" s="69"/>
      <c r="D200" s="69"/>
      <c r="E200" s="69"/>
      <c r="F200" s="69"/>
      <c r="G200" s="69"/>
      <c r="H200" s="69"/>
      <c r="I200" s="69"/>
      <c r="J200" s="69"/>
      <c r="K200" t="str">
        <f t="shared" si="23"/>
        <v>Not a Lease</v>
      </c>
      <c r="L200" s="69"/>
      <c r="M200" s="69"/>
      <c r="N200" s="69"/>
      <c r="O200" s="69"/>
      <c r="P200" s="69"/>
      <c r="Q200" s="69"/>
      <c r="R200" s="69"/>
      <c r="S200" s="69"/>
      <c r="T200" s="69"/>
      <c r="U200" s="69"/>
      <c r="V200" s="69"/>
      <c r="W200" s="69"/>
      <c r="X200" s="69"/>
      <c r="Y200" s="69"/>
      <c r="Z200">
        <f t="shared" si="21"/>
        <v>0</v>
      </c>
      <c r="AA200">
        <f t="shared" si="24"/>
        <v>0</v>
      </c>
      <c r="AB200">
        <f t="shared" si="25"/>
        <v>0</v>
      </c>
      <c r="AC200">
        <f>+IF(Table3[[#This Row],[Do Both Parties have to agree for extension to occur?]]="Yes",0,IF(AND(W200="Yes",Q200="Yes"),IF(R200=X200,R200,MAX(R200,X200)),IF(AND(W200="Yes",OR(Q200="No",Q200="")),X200,IF(AND(OR(W200="No",W200=""),Q200="Yes"),R200,0))))</f>
        <v>0</v>
      </c>
      <c r="AD200" s="69"/>
      <c r="AE200" s="69"/>
      <c r="AF200" t="str">
        <f>IF(AD200="Monthly",Table3[[#This Row],[Assessed Term]]*12,IF(AD200="quarterly",Table3[[#This Row],[Assessed Term]]*4,IF(AD200="annually",Table3[[#This Row],[Assessed Term]]*1,IF(AD200="weekly",Table3[[#This Row],[Assessed Term]]*52,IF(AD200="semiannually",Table3[[#This Row],[Assessed Term]]*2," ")))))</f>
        <v xml:space="preserve"> </v>
      </c>
      <c r="AG200" s="69"/>
      <c r="AH200" s="69"/>
      <c r="AI200" s="73"/>
      <c r="AJ200" s="73"/>
      <c r="AK200" s="73"/>
      <c r="AL200" s="69"/>
      <c r="AM200" s="69"/>
      <c r="AN200" s="120"/>
      <c r="AO200" s="76" t="b">
        <f>IF(K200 = "Lease",+PV(AN200/(AF200/Table3[[#This Row],[Assessed Term]]),AF200,-AI200,0,IF(AE200="Beginning",1,0)))</f>
        <v>0</v>
      </c>
      <c r="AP200" s="69"/>
      <c r="AQ200" s="76">
        <f t="shared" si="22"/>
        <v>0</v>
      </c>
      <c r="AR200" s="72"/>
    </row>
    <row r="201" spans="1:44">
      <c r="A201" s="69"/>
      <c r="B201" s="70"/>
      <c r="C201" s="69"/>
      <c r="D201" s="69"/>
      <c r="E201" s="69"/>
      <c r="F201" s="69"/>
      <c r="G201" s="69"/>
      <c r="H201" s="69"/>
      <c r="I201" s="69"/>
      <c r="J201" s="69"/>
      <c r="K201" t="str">
        <f t="shared" si="23"/>
        <v>Not a Lease</v>
      </c>
      <c r="L201" s="69"/>
      <c r="M201" s="69"/>
      <c r="N201" s="69"/>
      <c r="O201" s="69"/>
      <c r="P201" s="69"/>
      <c r="Q201" s="69"/>
      <c r="R201" s="69"/>
      <c r="S201" s="69"/>
      <c r="T201" s="69"/>
      <c r="U201" s="69"/>
      <c r="V201" s="69"/>
      <c r="W201" s="69"/>
      <c r="X201" s="69"/>
      <c r="Y201" s="69"/>
      <c r="Z201">
        <f t="shared" si="21"/>
        <v>0</v>
      </c>
      <c r="AA201">
        <f t="shared" si="24"/>
        <v>0</v>
      </c>
      <c r="AB201">
        <f t="shared" si="25"/>
        <v>0</v>
      </c>
      <c r="AC201">
        <f>+IF(Table3[[#This Row],[Do Both Parties have to agree for extension to occur?]]="Yes",0,IF(AND(W201="Yes",Q201="Yes"),IF(R201=X201,R201,MAX(R201,X201)),IF(AND(W201="Yes",OR(Q201="No",Q201="")),X201,IF(AND(OR(W201="No",W201=""),Q201="Yes"),R201,0))))</f>
        <v>0</v>
      </c>
      <c r="AD201" s="69"/>
      <c r="AE201" s="69"/>
      <c r="AF201" t="str">
        <f>IF(AD201="Monthly",Table3[[#This Row],[Assessed Term]]*12,IF(AD201="quarterly",Table3[[#This Row],[Assessed Term]]*4,IF(AD201="annually",Table3[[#This Row],[Assessed Term]]*1,IF(AD201="weekly",Table3[[#This Row],[Assessed Term]]*52,IF(AD201="semiannually",Table3[[#This Row],[Assessed Term]]*2," ")))))</f>
        <v xml:space="preserve"> </v>
      </c>
      <c r="AG201" s="69"/>
      <c r="AH201" s="69"/>
      <c r="AI201" s="73"/>
      <c r="AJ201" s="73"/>
      <c r="AK201" s="73"/>
      <c r="AL201" s="69"/>
      <c r="AM201" s="69"/>
      <c r="AN201" s="120"/>
      <c r="AO201" s="76" t="b">
        <f>IF(K201 = "Lease",+PV(AN201/(AF201/Table3[[#This Row],[Assessed Term]]),AF201,-AI201,0,IF(AE201="Beginning",1,0)))</f>
        <v>0</v>
      </c>
      <c r="AP201" s="69"/>
      <c r="AQ201" s="76">
        <f t="shared" si="22"/>
        <v>0</v>
      </c>
      <c r="AR201" s="72"/>
    </row>
    <row r="202" spans="1:44">
      <c r="A202" s="69"/>
      <c r="B202" s="70"/>
      <c r="C202" s="69"/>
      <c r="D202" s="69"/>
      <c r="E202" s="69"/>
      <c r="F202" s="69"/>
      <c r="G202" s="69"/>
      <c r="H202" s="69"/>
      <c r="I202" s="69"/>
      <c r="J202" s="69"/>
      <c r="K202" t="str">
        <f t="shared" si="23"/>
        <v>Not a Lease</v>
      </c>
      <c r="L202" s="69"/>
      <c r="M202" s="69"/>
      <c r="N202" s="69"/>
      <c r="O202" s="69"/>
      <c r="P202" s="69"/>
      <c r="Q202" s="69"/>
      <c r="R202" s="69"/>
      <c r="S202" s="69"/>
      <c r="T202" s="69"/>
      <c r="U202" s="69"/>
      <c r="V202" s="69"/>
      <c r="W202" s="69"/>
      <c r="X202" s="69"/>
      <c r="Y202" s="69"/>
      <c r="Z202">
        <f t="shared" si="21"/>
        <v>0</v>
      </c>
      <c r="AA202">
        <f t="shared" si="24"/>
        <v>0</v>
      </c>
      <c r="AB202">
        <f t="shared" si="25"/>
        <v>0</v>
      </c>
      <c r="AC202">
        <f>+IF(Table3[[#This Row],[Do Both Parties have to agree for extension to occur?]]="Yes",0,IF(AND(W202="Yes",Q202="Yes"),IF(R202=X202,R202,MAX(R202,X202)),IF(AND(W202="Yes",OR(Q202="No",Q202="")),X202,IF(AND(OR(W202="No",W202=""),Q202="Yes"),R202,0))))</f>
        <v>0</v>
      </c>
      <c r="AD202" s="69"/>
      <c r="AE202" s="69"/>
      <c r="AF202" t="str">
        <f>IF(AD202="Monthly",Table3[[#This Row],[Assessed Term]]*12,IF(AD202="quarterly",Table3[[#This Row],[Assessed Term]]*4,IF(AD202="annually",Table3[[#This Row],[Assessed Term]]*1,IF(AD202="weekly",Table3[[#This Row],[Assessed Term]]*52,IF(AD202="semiannually",Table3[[#This Row],[Assessed Term]]*2," ")))))</f>
        <v xml:space="preserve"> </v>
      </c>
      <c r="AG202" s="69"/>
      <c r="AH202" s="69"/>
      <c r="AI202" s="73"/>
      <c r="AJ202" s="73"/>
      <c r="AK202" s="73"/>
      <c r="AL202" s="69"/>
      <c r="AM202" s="69"/>
      <c r="AN202" s="120"/>
      <c r="AO202" s="76" t="b">
        <f>IF(K202 = "Lease",+PV(AN202/(AF202/Table3[[#This Row],[Assessed Term]]),AF202,-AI202,0,IF(AE202="Beginning",1,0)))</f>
        <v>0</v>
      </c>
      <c r="AP202" s="69"/>
      <c r="AQ202" s="76">
        <f t="shared" si="22"/>
        <v>0</v>
      </c>
      <c r="AR202" s="72"/>
    </row>
    <row r="203" spans="1:44">
      <c r="A203" s="69"/>
      <c r="B203" s="70"/>
      <c r="C203" s="69"/>
      <c r="D203" s="69"/>
      <c r="E203" s="69"/>
      <c r="F203" s="69"/>
      <c r="G203" s="69"/>
      <c r="H203" s="69"/>
      <c r="I203" s="69"/>
      <c r="J203" s="69"/>
      <c r="K203" t="str">
        <f t="shared" si="23"/>
        <v>Not a Lease</v>
      </c>
      <c r="L203" s="69"/>
      <c r="M203" s="69"/>
      <c r="N203" s="69"/>
      <c r="O203" s="69"/>
      <c r="P203" s="69"/>
      <c r="Q203" s="69"/>
      <c r="R203" s="69"/>
      <c r="S203" s="69"/>
      <c r="T203" s="69"/>
      <c r="U203" s="69"/>
      <c r="V203" s="69"/>
      <c r="W203" s="69"/>
      <c r="X203" s="69"/>
      <c r="Y203" s="69"/>
      <c r="Z203">
        <f t="shared" si="21"/>
        <v>0</v>
      </c>
      <c r="AA203">
        <f t="shared" si="24"/>
        <v>0</v>
      </c>
      <c r="AB203">
        <f t="shared" si="25"/>
        <v>0</v>
      </c>
      <c r="AC203">
        <f>+IF(Table3[[#This Row],[Do Both Parties have to agree for extension to occur?]]="Yes",0,IF(AND(W203="Yes",Q203="Yes"),IF(R203=X203,R203,MAX(R203,X203)),IF(AND(W203="Yes",OR(Q203="No",Q203="")),X203,IF(AND(OR(W203="No",W203=""),Q203="Yes"),R203,0))))</f>
        <v>0</v>
      </c>
      <c r="AD203" s="69"/>
      <c r="AE203" s="69"/>
      <c r="AF203" t="str">
        <f>IF(AD203="Monthly",Table3[[#This Row],[Assessed Term]]*12,IF(AD203="quarterly",Table3[[#This Row],[Assessed Term]]*4,IF(AD203="annually",Table3[[#This Row],[Assessed Term]]*1,IF(AD203="weekly",Table3[[#This Row],[Assessed Term]]*52,IF(AD203="semiannually",Table3[[#This Row],[Assessed Term]]*2," ")))))</f>
        <v xml:space="preserve"> </v>
      </c>
      <c r="AG203" s="69"/>
      <c r="AH203" s="69"/>
      <c r="AI203" s="73"/>
      <c r="AJ203" s="73"/>
      <c r="AK203" s="73"/>
      <c r="AL203" s="69"/>
      <c r="AM203" s="69"/>
      <c r="AN203" s="120"/>
      <c r="AO203" s="76" t="b">
        <f>IF(K203 = "Lease",+PV(AN203/(AF203/Table3[[#This Row],[Assessed Term]]),AF203,-AI203,0,IF(AE203="Beginning",1,0)))</f>
        <v>0</v>
      </c>
      <c r="AP203" s="69"/>
      <c r="AQ203" s="76">
        <f t="shared" si="22"/>
        <v>0</v>
      </c>
      <c r="AR203" s="72"/>
    </row>
    <row r="204" spans="1:44">
      <c r="A204" s="69"/>
      <c r="B204" s="70"/>
      <c r="C204" s="69"/>
      <c r="D204" s="69"/>
      <c r="E204" s="69"/>
      <c r="F204" s="69"/>
      <c r="G204" s="69"/>
      <c r="H204" s="69"/>
      <c r="I204" s="69"/>
      <c r="J204" s="69"/>
      <c r="K204" t="str">
        <f t="shared" si="23"/>
        <v>Not a Lease</v>
      </c>
      <c r="L204" s="69"/>
      <c r="M204" s="69"/>
      <c r="N204" s="69"/>
      <c r="O204" s="69"/>
      <c r="P204" s="69"/>
      <c r="Q204" s="69"/>
      <c r="R204" s="69"/>
      <c r="S204" s="69"/>
      <c r="T204" s="69"/>
      <c r="U204" s="69"/>
      <c r="V204" s="69"/>
      <c r="W204" s="69"/>
      <c r="X204" s="69"/>
      <c r="Y204" s="69"/>
      <c r="Z204">
        <f t="shared" si="21"/>
        <v>0</v>
      </c>
      <c r="AA204">
        <f t="shared" si="24"/>
        <v>0</v>
      </c>
      <c r="AB204">
        <f t="shared" si="25"/>
        <v>0</v>
      </c>
      <c r="AC204">
        <f>+IF(Table3[[#This Row],[Do Both Parties have to agree for extension to occur?]]="Yes",0,IF(AND(W204="Yes",Q204="Yes"),IF(R204=X204,R204,MAX(R204,X204)),IF(AND(W204="Yes",OR(Q204="No",Q204="")),X204,IF(AND(OR(W204="No",W204=""),Q204="Yes"),R204,0))))</f>
        <v>0</v>
      </c>
      <c r="AD204" s="69"/>
      <c r="AE204" s="69"/>
      <c r="AF204" t="str">
        <f>IF(AD204="Monthly",Table3[[#This Row],[Assessed Term]]*12,IF(AD204="quarterly",Table3[[#This Row],[Assessed Term]]*4,IF(AD204="annually",Table3[[#This Row],[Assessed Term]]*1,IF(AD204="weekly",Table3[[#This Row],[Assessed Term]]*52,IF(AD204="semiannually",Table3[[#This Row],[Assessed Term]]*2," ")))))</f>
        <v xml:space="preserve"> </v>
      </c>
      <c r="AG204" s="69"/>
      <c r="AH204" s="69"/>
      <c r="AI204" s="73"/>
      <c r="AJ204" s="73"/>
      <c r="AK204" s="73"/>
      <c r="AL204" s="69"/>
      <c r="AM204" s="69"/>
      <c r="AN204" s="120"/>
      <c r="AO204" s="76" t="b">
        <f>IF(K204 = "Lease",+PV(AN204/(AF204/Table3[[#This Row],[Assessed Term]]),AF204,-AI204,0,IF(AE204="Beginning",1,0)))</f>
        <v>0</v>
      </c>
      <c r="AP204" s="69"/>
      <c r="AQ204" s="76">
        <f t="shared" si="22"/>
        <v>0</v>
      </c>
      <c r="AR204" s="72"/>
    </row>
    <row r="205" spans="1:44">
      <c r="A205" s="69"/>
      <c r="B205" s="70"/>
      <c r="C205" s="69"/>
      <c r="D205" s="69"/>
      <c r="E205" s="69"/>
      <c r="F205" s="69"/>
      <c r="G205" s="69"/>
      <c r="H205" s="69"/>
      <c r="I205" s="69"/>
      <c r="J205" s="69"/>
      <c r="K205" t="str">
        <f t="shared" si="23"/>
        <v>Not a Lease</v>
      </c>
      <c r="L205" s="69"/>
      <c r="M205" s="69"/>
      <c r="N205" s="69"/>
      <c r="O205" s="69"/>
      <c r="P205" s="69"/>
      <c r="Q205" s="69"/>
      <c r="R205" s="69"/>
      <c r="S205" s="69"/>
      <c r="T205" s="69"/>
      <c r="U205" s="69"/>
      <c r="V205" s="69"/>
      <c r="W205" s="69"/>
      <c r="X205" s="69"/>
      <c r="Y205" s="69"/>
      <c r="Z205">
        <f t="shared" si="21"/>
        <v>0</v>
      </c>
      <c r="AA205">
        <f t="shared" si="24"/>
        <v>0</v>
      </c>
      <c r="AB205">
        <f t="shared" si="25"/>
        <v>0</v>
      </c>
      <c r="AC205">
        <f>+IF(Table3[[#This Row],[Do Both Parties have to agree for extension to occur?]]="Yes",0,IF(AND(W205="Yes",Q205="Yes"),IF(R205=X205,R205,MAX(R205,X205)),IF(AND(W205="Yes",OR(Q205="No",Q205="")),X205,IF(AND(OR(W205="No",W205=""),Q205="Yes"),R205,0))))</f>
        <v>0</v>
      </c>
      <c r="AD205" s="69"/>
      <c r="AE205" s="69"/>
      <c r="AF205" t="str">
        <f>IF(AD205="Monthly",Table3[[#This Row],[Assessed Term]]*12,IF(AD205="quarterly",Table3[[#This Row],[Assessed Term]]*4,IF(AD205="annually",Table3[[#This Row],[Assessed Term]]*1,IF(AD205="weekly",Table3[[#This Row],[Assessed Term]]*52,IF(AD205="semiannually",Table3[[#This Row],[Assessed Term]]*2," ")))))</f>
        <v xml:space="preserve"> </v>
      </c>
      <c r="AG205" s="69"/>
      <c r="AH205" s="69"/>
      <c r="AI205" s="73"/>
      <c r="AJ205" s="73"/>
      <c r="AK205" s="73"/>
      <c r="AL205" s="69"/>
      <c r="AM205" s="69"/>
      <c r="AN205" s="120"/>
      <c r="AO205" s="76" t="b">
        <f>IF(K205 = "Lease",+PV(AN205/(AF205/Table3[[#This Row],[Assessed Term]]),AF205,-AI205,0,IF(AE205="Beginning",1,0)))</f>
        <v>0</v>
      </c>
      <c r="AP205" s="69"/>
      <c r="AQ205" s="76">
        <f t="shared" si="22"/>
        <v>0</v>
      </c>
      <c r="AR205" s="72"/>
    </row>
    <row r="206" spans="1:44">
      <c r="A206" s="69"/>
      <c r="B206" s="70"/>
      <c r="C206" s="69"/>
      <c r="D206" s="69"/>
      <c r="E206" s="69"/>
      <c r="F206" s="69"/>
      <c r="G206" s="69"/>
      <c r="H206" s="69"/>
      <c r="I206" s="69"/>
      <c r="J206" s="69"/>
      <c r="K206" t="str">
        <f t="shared" si="23"/>
        <v>Not a Lease</v>
      </c>
      <c r="L206" s="69"/>
      <c r="M206" s="69"/>
      <c r="N206" s="69"/>
      <c r="O206" s="69"/>
      <c r="P206" s="69"/>
      <c r="Q206" s="69"/>
      <c r="R206" s="69"/>
      <c r="S206" s="69"/>
      <c r="T206" s="69"/>
      <c r="U206" s="69"/>
      <c r="V206" s="69"/>
      <c r="W206" s="69"/>
      <c r="X206" s="69"/>
      <c r="Y206" s="69"/>
      <c r="Z206">
        <f t="shared" si="21"/>
        <v>0</v>
      </c>
      <c r="AA206">
        <f t="shared" si="24"/>
        <v>0</v>
      </c>
      <c r="AB206">
        <f t="shared" si="25"/>
        <v>0</v>
      </c>
      <c r="AC206">
        <f>+IF(Table3[[#This Row],[Do Both Parties have to agree for extension to occur?]]="Yes",0,IF(AND(W206="Yes",Q206="Yes"),IF(R206=X206,R206,MAX(R206,X206)),IF(AND(W206="Yes",OR(Q206="No",Q206="")),X206,IF(AND(OR(W206="No",W206=""),Q206="Yes"),R206,0))))</f>
        <v>0</v>
      </c>
      <c r="AD206" s="69"/>
      <c r="AE206" s="69"/>
      <c r="AF206" t="str">
        <f>IF(AD206="Monthly",Table3[[#This Row],[Assessed Term]]*12,IF(AD206="quarterly",Table3[[#This Row],[Assessed Term]]*4,IF(AD206="annually",Table3[[#This Row],[Assessed Term]]*1,IF(AD206="weekly",Table3[[#This Row],[Assessed Term]]*52,IF(AD206="semiannually",Table3[[#This Row],[Assessed Term]]*2," ")))))</f>
        <v xml:space="preserve"> </v>
      </c>
      <c r="AG206" s="69"/>
      <c r="AH206" s="69"/>
      <c r="AI206" s="73"/>
      <c r="AJ206" s="73"/>
      <c r="AK206" s="73"/>
      <c r="AL206" s="69"/>
      <c r="AM206" s="69"/>
      <c r="AN206" s="120"/>
      <c r="AO206" s="76" t="b">
        <f>IF(K206 = "Lease",+PV(AN206/(AF206/Table3[[#This Row],[Assessed Term]]),AF206,-AI206,0,IF(AE206="Beginning",1,0)))</f>
        <v>0</v>
      </c>
      <c r="AP206" s="69"/>
      <c r="AQ206" s="76">
        <f t="shared" si="22"/>
        <v>0</v>
      </c>
      <c r="AR206" s="72"/>
    </row>
    <row r="207" spans="1:44">
      <c r="A207" s="69"/>
      <c r="B207" s="70"/>
      <c r="C207" s="69"/>
      <c r="D207" s="69"/>
      <c r="E207" s="69"/>
      <c r="F207" s="69"/>
      <c r="G207" s="69"/>
      <c r="H207" s="69"/>
      <c r="I207" s="69"/>
      <c r="J207" s="69"/>
      <c r="K207" t="str">
        <f t="shared" si="23"/>
        <v>Not a Lease</v>
      </c>
      <c r="L207" s="69"/>
      <c r="M207" s="69"/>
      <c r="N207" s="69"/>
      <c r="O207" s="69"/>
      <c r="P207" s="69"/>
      <c r="Q207" s="69"/>
      <c r="R207" s="69"/>
      <c r="S207" s="69"/>
      <c r="T207" s="69"/>
      <c r="U207" s="69"/>
      <c r="V207" s="69"/>
      <c r="W207" s="69"/>
      <c r="X207" s="69"/>
      <c r="Y207" s="69"/>
      <c r="Z207">
        <f t="shared" si="21"/>
        <v>0</v>
      </c>
      <c r="AA207">
        <f t="shared" si="24"/>
        <v>0</v>
      </c>
      <c r="AB207">
        <f t="shared" si="25"/>
        <v>0</v>
      </c>
      <c r="AC207">
        <f>+IF(Table3[[#This Row],[Do Both Parties have to agree for extension to occur?]]="Yes",0,IF(AND(W207="Yes",Q207="Yes"),IF(R207=X207,R207,MAX(R207,X207)),IF(AND(W207="Yes",OR(Q207="No",Q207="")),X207,IF(AND(OR(W207="No",W207=""),Q207="Yes"),R207,0))))</f>
        <v>0</v>
      </c>
      <c r="AD207" s="69"/>
      <c r="AE207" s="69"/>
      <c r="AF207" t="str">
        <f>IF(AD207="Monthly",Table3[[#This Row],[Assessed Term]]*12,IF(AD207="quarterly",Table3[[#This Row],[Assessed Term]]*4,IF(AD207="annually",Table3[[#This Row],[Assessed Term]]*1,IF(AD207="weekly",Table3[[#This Row],[Assessed Term]]*52,IF(AD207="semiannually",Table3[[#This Row],[Assessed Term]]*2," ")))))</f>
        <v xml:space="preserve"> </v>
      </c>
      <c r="AG207" s="69"/>
      <c r="AH207" s="69"/>
      <c r="AI207" s="73"/>
      <c r="AJ207" s="73"/>
      <c r="AK207" s="73"/>
      <c r="AL207" s="69"/>
      <c r="AM207" s="69"/>
      <c r="AN207" s="120"/>
      <c r="AO207" s="76" t="b">
        <f>IF(K207 = "Lease",+PV(AN207/(AF207/Table3[[#This Row],[Assessed Term]]),AF207,-AI207,0,IF(AE207="Beginning",1,0)))</f>
        <v>0</v>
      </c>
      <c r="AP207" s="69"/>
      <c r="AQ207" s="76">
        <f t="shared" si="22"/>
        <v>0</v>
      </c>
      <c r="AR207" s="72"/>
    </row>
    <row r="208" spans="1:44">
      <c r="A208" s="69"/>
      <c r="B208" s="70"/>
      <c r="C208" s="69"/>
      <c r="D208" s="69"/>
      <c r="E208" s="69"/>
      <c r="F208" s="69"/>
      <c r="G208" s="69"/>
      <c r="H208" s="69"/>
      <c r="I208" s="69"/>
      <c r="J208" s="69"/>
      <c r="K208" t="str">
        <f t="shared" si="23"/>
        <v>Not a Lease</v>
      </c>
      <c r="L208" s="69"/>
      <c r="M208" s="69"/>
      <c r="N208" s="69"/>
      <c r="O208" s="69"/>
      <c r="P208" s="69"/>
      <c r="Q208" s="69"/>
      <c r="R208" s="69"/>
      <c r="S208" s="69"/>
      <c r="T208" s="69"/>
      <c r="U208" s="69"/>
      <c r="V208" s="69"/>
      <c r="W208" s="69"/>
      <c r="X208" s="69"/>
      <c r="Y208" s="69"/>
      <c r="Z208">
        <f t="shared" ref="Z208:Z224" si="26">+IF(AB208=0,AA208+AC208,AB208)</f>
        <v>0</v>
      </c>
      <c r="AA208">
        <f t="shared" si="24"/>
        <v>0</v>
      </c>
      <c r="AB208">
        <f t="shared" si="25"/>
        <v>0</v>
      </c>
      <c r="AC208">
        <f>+IF(Table3[[#This Row],[Do Both Parties have to agree for extension to occur?]]="Yes",0,IF(AND(W208="Yes",Q208="Yes"),IF(R208=X208,R208,MAX(R208,X208)),IF(AND(W208="Yes",OR(Q208="No",Q208="")),X208,IF(AND(OR(W208="No",W208=""),Q208="Yes"),R208,0))))</f>
        <v>0</v>
      </c>
      <c r="AD208" s="69"/>
      <c r="AE208" s="69"/>
      <c r="AF208" t="str">
        <f>IF(AD208="Monthly",Table3[[#This Row],[Assessed Term]]*12,IF(AD208="quarterly",Table3[[#This Row],[Assessed Term]]*4,IF(AD208="annually",Table3[[#This Row],[Assessed Term]]*1,IF(AD208="weekly",Table3[[#This Row],[Assessed Term]]*52,IF(AD208="semiannually",Table3[[#This Row],[Assessed Term]]*2," ")))))</f>
        <v xml:space="preserve"> </v>
      </c>
      <c r="AG208" s="69"/>
      <c r="AH208" s="69"/>
      <c r="AI208" s="73"/>
      <c r="AJ208" s="73"/>
      <c r="AK208" s="73"/>
      <c r="AL208" s="69"/>
      <c r="AM208" s="69"/>
      <c r="AN208" s="120"/>
      <c r="AO208" s="76" t="b">
        <f>IF(K208 = "Lease",+PV(AN208/(AF208/Table3[[#This Row],[Assessed Term]]),AF208,-AI208,0,IF(AE208="Beginning",1,0)))</f>
        <v>0</v>
      </c>
      <c r="AP208" s="69"/>
      <c r="AQ208" s="76">
        <f t="shared" ref="AQ208:AQ224" si="27">+IF(AP208 = "no",AO208,0)</f>
        <v>0</v>
      </c>
      <c r="AR208" s="72"/>
    </row>
    <row r="209" spans="1:44">
      <c r="A209" s="69"/>
      <c r="B209" s="70"/>
      <c r="C209" s="69"/>
      <c r="D209" s="69"/>
      <c r="E209" s="69"/>
      <c r="F209" s="69"/>
      <c r="G209" s="69"/>
      <c r="H209" s="69"/>
      <c r="I209" s="69"/>
      <c r="J209" s="69"/>
      <c r="K209" t="str">
        <f t="shared" si="23"/>
        <v>Not a Lease</v>
      </c>
      <c r="L209" s="69"/>
      <c r="M209" s="69"/>
      <c r="N209" s="69"/>
      <c r="O209" s="69"/>
      <c r="P209" s="69"/>
      <c r="Q209" s="69"/>
      <c r="R209" s="69"/>
      <c r="S209" s="69"/>
      <c r="T209" s="69"/>
      <c r="U209" s="69"/>
      <c r="V209" s="69"/>
      <c r="W209" s="69"/>
      <c r="X209" s="69"/>
      <c r="Y209" s="69"/>
      <c r="Z209">
        <f t="shared" si="26"/>
        <v>0</v>
      </c>
      <c r="AA209">
        <f t="shared" si="24"/>
        <v>0</v>
      </c>
      <c r="AB209">
        <f t="shared" si="25"/>
        <v>0</v>
      </c>
      <c r="AC209">
        <f>+IF(Table3[[#This Row],[Do Both Parties have to agree for extension to occur?]]="Yes",0,IF(AND(W209="Yes",Q209="Yes"),IF(R209=X209,R209,MAX(R209,X209)),IF(AND(W209="Yes",OR(Q209="No",Q209="")),X209,IF(AND(OR(W209="No",W209=""),Q209="Yes"),R209,0))))</f>
        <v>0</v>
      </c>
      <c r="AD209" s="69"/>
      <c r="AE209" s="69"/>
      <c r="AF209" t="str">
        <f>IF(AD209="Monthly",Table3[[#This Row],[Assessed Term]]*12,IF(AD209="quarterly",Table3[[#This Row],[Assessed Term]]*4,IF(AD209="annually",Table3[[#This Row],[Assessed Term]]*1,IF(AD209="weekly",Table3[[#This Row],[Assessed Term]]*52,IF(AD209="semiannually",Table3[[#This Row],[Assessed Term]]*2," ")))))</f>
        <v xml:space="preserve"> </v>
      </c>
      <c r="AG209" s="69"/>
      <c r="AH209" s="69"/>
      <c r="AI209" s="73"/>
      <c r="AJ209" s="73"/>
      <c r="AK209" s="73"/>
      <c r="AL209" s="69"/>
      <c r="AM209" s="69"/>
      <c r="AN209" s="120"/>
      <c r="AO209" s="76" t="b">
        <f>IF(K209 = "Lease",+PV(AN209/(AF209/Table3[[#This Row],[Assessed Term]]),AF209,-AI209,0,IF(AE209="Beginning",1,0)))</f>
        <v>0</v>
      </c>
      <c r="AP209" s="69"/>
      <c r="AQ209" s="76">
        <f t="shared" si="27"/>
        <v>0</v>
      </c>
      <c r="AR209" s="72"/>
    </row>
    <row r="210" spans="1:44">
      <c r="A210" s="69"/>
      <c r="B210" s="70"/>
      <c r="C210" s="69"/>
      <c r="D210" s="69"/>
      <c r="E210" s="69"/>
      <c r="F210" s="69"/>
      <c r="G210" s="69"/>
      <c r="H210" s="69"/>
      <c r="I210" s="69"/>
      <c r="J210" s="69"/>
      <c r="K210" t="str">
        <f t="shared" si="23"/>
        <v>Not a Lease</v>
      </c>
      <c r="L210" s="69"/>
      <c r="M210" s="69"/>
      <c r="N210" s="69"/>
      <c r="O210" s="69"/>
      <c r="P210" s="69"/>
      <c r="Q210" s="69"/>
      <c r="R210" s="69"/>
      <c r="S210" s="69"/>
      <c r="T210" s="69"/>
      <c r="U210" s="69"/>
      <c r="V210" s="69"/>
      <c r="W210" s="69"/>
      <c r="X210" s="69"/>
      <c r="Y210" s="69"/>
      <c r="Z210">
        <f t="shared" si="26"/>
        <v>0</v>
      </c>
      <c r="AA210">
        <f t="shared" si="24"/>
        <v>0</v>
      </c>
      <c r="AB210">
        <f t="shared" si="25"/>
        <v>0</v>
      </c>
      <c r="AC210">
        <f>+IF(Table3[[#This Row],[Do Both Parties have to agree for extension to occur?]]="Yes",0,IF(AND(W210="Yes",Q210="Yes"),IF(R210=X210,R210,MAX(R210,X210)),IF(AND(W210="Yes",OR(Q210="No",Q210="")),X210,IF(AND(OR(W210="No",W210=""),Q210="Yes"),R210,0))))</f>
        <v>0</v>
      </c>
      <c r="AD210" s="69"/>
      <c r="AE210" s="69"/>
      <c r="AF210" t="str">
        <f>IF(AD210="Monthly",Table3[[#This Row],[Assessed Term]]*12,IF(AD210="quarterly",Table3[[#This Row],[Assessed Term]]*4,IF(AD210="annually",Table3[[#This Row],[Assessed Term]]*1,IF(AD210="weekly",Table3[[#This Row],[Assessed Term]]*52,IF(AD210="semiannually",Table3[[#This Row],[Assessed Term]]*2," ")))))</f>
        <v xml:space="preserve"> </v>
      </c>
      <c r="AG210" s="69"/>
      <c r="AH210" s="69"/>
      <c r="AI210" s="73"/>
      <c r="AJ210" s="73"/>
      <c r="AK210" s="73"/>
      <c r="AL210" s="69"/>
      <c r="AM210" s="69"/>
      <c r="AN210" s="120"/>
      <c r="AO210" s="76" t="b">
        <f>IF(K210 = "Lease",+PV(AN210/(AF210/Table3[[#This Row],[Assessed Term]]),AF210,-AI210,0,IF(AE210="Beginning",1,0)))</f>
        <v>0</v>
      </c>
      <c r="AP210" s="69"/>
      <c r="AQ210" s="76">
        <f t="shared" si="27"/>
        <v>0</v>
      </c>
      <c r="AR210" s="72"/>
    </row>
    <row r="211" spans="1:44">
      <c r="A211" s="69"/>
      <c r="B211" s="70"/>
      <c r="C211" s="69"/>
      <c r="D211" s="69"/>
      <c r="E211" s="69"/>
      <c r="F211" s="69"/>
      <c r="G211" s="69"/>
      <c r="H211" s="69"/>
      <c r="I211" s="69"/>
      <c r="J211" s="69"/>
      <c r="K211" t="str">
        <f t="shared" si="23"/>
        <v>Not a Lease</v>
      </c>
      <c r="L211" s="69"/>
      <c r="M211" s="69"/>
      <c r="N211" s="69"/>
      <c r="O211" s="69"/>
      <c r="P211" s="69"/>
      <c r="Q211" s="69"/>
      <c r="R211" s="69"/>
      <c r="S211" s="69"/>
      <c r="T211" s="69"/>
      <c r="U211" s="69"/>
      <c r="V211" s="69"/>
      <c r="W211" s="69"/>
      <c r="X211" s="69"/>
      <c r="Y211" s="69"/>
      <c r="Z211">
        <f t="shared" si="26"/>
        <v>0</v>
      </c>
      <c r="AA211">
        <f t="shared" si="24"/>
        <v>0</v>
      </c>
      <c r="AB211">
        <f t="shared" si="25"/>
        <v>0</v>
      </c>
      <c r="AC211">
        <f>+IF(Table3[[#This Row],[Do Both Parties have to agree for extension to occur?]]="Yes",0,IF(AND(W211="Yes",Q211="Yes"),IF(R211=X211,R211,MAX(R211,X211)),IF(AND(W211="Yes",OR(Q211="No",Q211="")),X211,IF(AND(OR(W211="No",W211=""),Q211="Yes"),R211,0))))</f>
        <v>0</v>
      </c>
      <c r="AD211" s="69"/>
      <c r="AE211" s="69"/>
      <c r="AF211" t="str">
        <f>IF(AD211="Monthly",Table3[[#This Row],[Assessed Term]]*12,IF(AD211="quarterly",Table3[[#This Row],[Assessed Term]]*4,IF(AD211="annually",Table3[[#This Row],[Assessed Term]]*1,IF(AD211="weekly",Table3[[#This Row],[Assessed Term]]*52,IF(AD211="semiannually",Table3[[#This Row],[Assessed Term]]*2," ")))))</f>
        <v xml:space="preserve"> </v>
      </c>
      <c r="AG211" s="69"/>
      <c r="AH211" s="69"/>
      <c r="AI211" s="73"/>
      <c r="AJ211" s="73"/>
      <c r="AK211" s="73"/>
      <c r="AL211" s="69"/>
      <c r="AM211" s="69"/>
      <c r="AN211" s="120"/>
      <c r="AO211" s="76" t="b">
        <f>IF(K211 = "Lease",+PV(AN211/(AF211/Table3[[#This Row],[Assessed Term]]),AF211,-AI211,0,IF(AE211="Beginning",1,0)))</f>
        <v>0</v>
      </c>
      <c r="AP211" s="69"/>
      <c r="AQ211" s="76">
        <f t="shared" si="27"/>
        <v>0</v>
      </c>
      <c r="AR211" s="72"/>
    </row>
    <row r="212" spans="1:44">
      <c r="A212" s="69"/>
      <c r="B212" s="70"/>
      <c r="C212" s="69"/>
      <c r="D212" s="69"/>
      <c r="E212" s="69"/>
      <c r="F212" s="69"/>
      <c r="G212" s="69"/>
      <c r="H212" s="69"/>
      <c r="I212" s="69"/>
      <c r="J212" s="69"/>
      <c r="K212" t="str">
        <f t="shared" si="23"/>
        <v>Not a Lease</v>
      </c>
      <c r="L212" s="69"/>
      <c r="M212" s="69"/>
      <c r="N212" s="69"/>
      <c r="O212" s="69"/>
      <c r="P212" s="69"/>
      <c r="Q212" s="69"/>
      <c r="R212" s="69"/>
      <c r="S212" s="69"/>
      <c r="T212" s="69"/>
      <c r="U212" s="69"/>
      <c r="V212" s="69"/>
      <c r="W212" s="69"/>
      <c r="X212" s="69"/>
      <c r="Y212" s="69"/>
      <c r="Z212">
        <f t="shared" si="26"/>
        <v>0</v>
      </c>
      <c r="AA212">
        <f t="shared" si="24"/>
        <v>0</v>
      </c>
      <c r="AB212">
        <f t="shared" si="25"/>
        <v>0</v>
      </c>
      <c r="AC212">
        <f>+IF(Table3[[#This Row],[Do Both Parties have to agree for extension to occur?]]="Yes",0,IF(AND(W212="Yes",Q212="Yes"),IF(R212=X212,R212,MAX(R212,X212)),IF(AND(W212="Yes",OR(Q212="No",Q212="")),X212,IF(AND(OR(W212="No",W212=""),Q212="Yes"),R212,0))))</f>
        <v>0</v>
      </c>
      <c r="AD212" s="69"/>
      <c r="AE212" s="69"/>
      <c r="AF212" t="str">
        <f>IF(AD212="Monthly",Table3[[#This Row],[Assessed Term]]*12,IF(AD212="quarterly",Table3[[#This Row],[Assessed Term]]*4,IF(AD212="annually",Table3[[#This Row],[Assessed Term]]*1,IF(AD212="weekly",Table3[[#This Row],[Assessed Term]]*52,IF(AD212="semiannually",Table3[[#This Row],[Assessed Term]]*2," ")))))</f>
        <v xml:space="preserve"> </v>
      </c>
      <c r="AG212" s="69"/>
      <c r="AH212" s="69"/>
      <c r="AI212" s="73"/>
      <c r="AJ212" s="73"/>
      <c r="AK212" s="73"/>
      <c r="AL212" s="69"/>
      <c r="AM212" s="69"/>
      <c r="AN212" s="120"/>
      <c r="AO212" s="76" t="b">
        <f>IF(K212 = "Lease",+PV(AN212/(AF212/Table3[[#This Row],[Assessed Term]]),AF212,-AI212,0,IF(AE212="Beginning",1,0)))</f>
        <v>0</v>
      </c>
      <c r="AP212" s="69"/>
      <c r="AQ212" s="76">
        <f t="shared" si="27"/>
        <v>0</v>
      </c>
      <c r="AR212" s="72"/>
    </row>
    <row r="213" spans="1:44">
      <c r="A213" s="69"/>
      <c r="B213" s="70"/>
      <c r="C213" s="69"/>
      <c r="D213" s="69"/>
      <c r="E213" s="69"/>
      <c r="F213" s="69"/>
      <c r="G213" s="69"/>
      <c r="H213" s="69"/>
      <c r="I213" s="69"/>
      <c r="J213" s="69"/>
      <c r="K213" t="str">
        <f t="shared" si="23"/>
        <v>Not a Lease</v>
      </c>
      <c r="L213" s="69"/>
      <c r="M213" s="69"/>
      <c r="N213" s="69"/>
      <c r="O213" s="69"/>
      <c r="P213" s="69"/>
      <c r="Q213" s="69"/>
      <c r="R213" s="69"/>
      <c r="S213" s="69"/>
      <c r="T213" s="69"/>
      <c r="U213" s="69"/>
      <c r="V213" s="69"/>
      <c r="W213" s="69"/>
      <c r="X213" s="69"/>
      <c r="Y213" s="69"/>
      <c r="Z213">
        <f t="shared" si="26"/>
        <v>0</v>
      </c>
      <c r="AA213">
        <f t="shared" si="24"/>
        <v>0</v>
      </c>
      <c r="AB213">
        <f t="shared" si="25"/>
        <v>0</v>
      </c>
      <c r="AC213">
        <f>+IF(Table3[[#This Row],[Do Both Parties have to agree for extension to occur?]]="Yes",0,IF(AND(W213="Yes",Q213="Yes"),IF(R213=X213,R213,MAX(R213,X213)),IF(AND(W213="Yes",OR(Q213="No",Q213="")),X213,IF(AND(OR(W213="No",W213=""),Q213="Yes"),R213,0))))</f>
        <v>0</v>
      </c>
      <c r="AD213" s="69"/>
      <c r="AE213" s="69"/>
      <c r="AF213" t="str">
        <f>IF(AD213="Monthly",Table3[[#This Row],[Assessed Term]]*12,IF(AD213="quarterly",Table3[[#This Row],[Assessed Term]]*4,IF(AD213="annually",Table3[[#This Row],[Assessed Term]]*1,IF(AD213="weekly",Table3[[#This Row],[Assessed Term]]*52,IF(AD213="semiannually",Table3[[#This Row],[Assessed Term]]*2," ")))))</f>
        <v xml:space="preserve"> </v>
      </c>
      <c r="AG213" s="69"/>
      <c r="AH213" s="69"/>
      <c r="AI213" s="73"/>
      <c r="AJ213" s="73"/>
      <c r="AK213" s="73"/>
      <c r="AL213" s="69"/>
      <c r="AM213" s="69"/>
      <c r="AN213" s="120"/>
      <c r="AO213" s="76" t="b">
        <f>IF(K213 = "Lease",+PV(AN213/(AF213/Table3[[#This Row],[Assessed Term]]),AF213,-AI213,0,IF(AE213="Beginning",1,0)))</f>
        <v>0</v>
      </c>
      <c r="AP213" s="69"/>
      <c r="AQ213" s="76">
        <f t="shared" si="27"/>
        <v>0</v>
      </c>
      <c r="AR213" s="72"/>
    </row>
    <row r="214" spans="1:44">
      <c r="A214" s="69"/>
      <c r="B214" s="70"/>
      <c r="C214" s="69"/>
      <c r="D214" s="69"/>
      <c r="E214" s="69"/>
      <c r="F214" s="69"/>
      <c r="G214" s="69"/>
      <c r="H214" s="69"/>
      <c r="I214" s="69"/>
      <c r="J214" s="69"/>
      <c r="K214" t="str">
        <f t="shared" si="23"/>
        <v>Not a Lease</v>
      </c>
      <c r="L214" s="69"/>
      <c r="M214" s="69"/>
      <c r="N214" s="69"/>
      <c r="O214" s="69"/>
      <c r="P214" s="69"/>
      <c r="Q214" s="69"/>
      <c r="R214" s="69"/>
      <c r="S214" s="69"/>
      <c r="T214" s="69"/>
      <c r="U214" s="69"/>
      <c r="V214" s="69"/>
      <c r="W214" s="69"/>
      <c r="X214" s="69"/>
      <c r="Y214" s="69"/>
      <c r="Z214">
        <f t="shared" si="26"/>
        <v>0</v>
      </c>
      <c r="AA214">
        <f t="shared" si="24"/>
        <v>0</v>
      </c>
      <c r="AB214">
        <f t="shared" si="25"/>
        <v>0</v>
      </c>
      <c r="AC214">
        <f>+IF(Table3[[#This Row],[Do Both Parties have to agree for extension to occur?]]="Yes",0,IF(AND(W214="Yes",Q214="Yes"),IF(R214=X214,R214,MAX(R214,X214)),IF(AND(W214="Yes",OR(Q214="No",Q214="")),X214,IF(AND(OR(W214="No",W214=""),Q214="Yes"),R214,0))))</f>
        <v>0</v>
      </c>
      <c r="AD214" s="69"/>
      <c r="AE214" s="69"/>
      <c r="AF214" t="str">
        <f>IF(AD214="Monthly",Table3[[#This Row],[Assessed Term]]*12,IF(AD214="quarterly",Table3[[#This Row],[Assessed Term]]*4,IF(AD214="annually",Table3[[#This Row],[Assessed Term]]*1,IF(AD214="weekly",Table3[[#This Row],[Assessed Term]]*52,IF(AD214="semiannually",Table3[[#This Row],[Assessed Term]]*2," ")))))</f>
        <v xml:space="preserve"> </v>
      </c>
      <c r="AG214" s="69"/>
      <c r="AH214" s="69"/>
      <c r="AI214" s="73"/>
      <c r="AJ214" s="73"/>
      <c r="AK214" s="73"/>
      <c r="AL214" s="69"/>
      <c r="AM214" s="69"/>
      <c r="AN214" s="120"/>
      <c r="AO214" s="76" t="b">
        <f>IF(K214 = "Lease",+PV(AN214/(AF214/Table3[[#This Row],[Assessed Term]]),AF214,-AI214,0,IF(AE214="Beginning",1,0)))</f>
        <v>0</v>
      </c>
      <c r="AP214" s="69"/>
      <c r="AQ214" s="76">
        <f t="shared" si="27"/>
        <v>0</v>
      </c>
      <c r="AR214" s="72"/>
    </row>
    <row r="215" spans="1:44">
      <c r="A215" s="69"/>
      <c r="B215" s="70"/>
      <c r="C215" s="69"/>
      <c r="D215" s="69"/>
      <c r="E215" s="69"/>
      <c r="F215" s="69"/>
      <c r="G215" s="69"/>
      <c r="H215" s="69"/>
      <c r="I215" s="69"/>
      <c r="J215" s="69"/>
      <c r="K215" t="str">
        <f t="shared" si="23"/>
        <v>Not a Lease</v>
      </c>
      <c r="L215" s="69"/>
      <c r="M215" s="69"/>
      <c r="N215" s="69"/>
      <c r="O215" s="69"/>
      <c r="P215" s="69"/>
      <c r="Q215" s="69"/>
      <c r="R215" s="69"/>
      <c r="S215" s="69"/>
      <c r="T215" s="69"/>
      <c r="U215" s="69"/>
      <c r="V215" s="69"/>
      <c r="W215" s="69"/>
      <c r="X215" s="69"/>
      <c r="Y215" s="69"/>
      <c r="Z215">
        <f t="shared" si="26"/>
        <v>0</v>
      </c>
      <c r="AA215">
        <f t="shared" si="24"/>
        <v>0</v>
      </c>
      <c r="AB215">
        <f t="shared" si="25"/>
        <v>0</v>
      </c>
      <c r="AC215">
        <f>+IF(Table3[[#This Row],[Do Both Parties have to agree for extension to occur?]]="Yes",0,IF(AND(W215="Yes",Q215="Yes"),IF(R215=X215,R215,MAX(R215,X215)),IF(AND(W215="Yes",OR(Q215="No",Q215="")),X215,IF(AND(OR(W215="No",W215=""),Q215="Yes"),R215,0))))</f>
        <v>0</v>
      </c>
      <c r="AD215" s="69"/>
      <c r="AE215" s="69"/>
      <c r="AF215" t="str">
        <f>IF(AD215="Monthly",Table3[[#This Row],[Assessed Term]]*12,IF(AD215="quarterly",Table3[[#This Row],[Assessed Term]]*4,IF(AD215="annually",Table3[[#This Row],[Assessed Term]]*1,IF(AD215="weekly",Table3[[#This Row],[Assessed Term]]*52,IF(AD215="semiannually",Table3[[#This Row],[Assessed Term]]*2," ")))))</f>
        <v xml:space="preserve"> </v>
      </c>
      <c r="AG215" s="69"/>
      <c r="AH215" s="69"/>
      <c r="AI215" s="73"/>
      <c r="AJ215" s="73"/>
      <c r="AK215" s="73"/>
      <c r="AL215" s="69"/>
      <c r="AM215" s="69"/>
      <c r="AN215" s="120"/>
      <c r="AO215" s="76" t="b">
        <f>IF(K215 = "Lease",+PV(AN215/(AF215/Table3[[#This Row],[Assessed Term]]),AF215,-AI215,0,IF(AE215="Beginning",1,0)))</f>
        <v>0</v>
      </c>
      <c r="AP215" s="69"/>
      <c r="AQ215" s="76">
        <f t="shared" si="27"/>
        <v>0</v>
      </c>
      <c r="AR215" s="72"/>
    </row>
    <row r="216" spans="1:44">
      <c r="A216" s="69"/>
      <c r="B216" s="70"/>
      <c r="C216" s="69"/>
      <c r="D216" s="69"/>
      <c r="E216" s="69"/>
      <c r="F216" s="69"/>
      <c r="G216" s="69"/>
      <c r="H216" s="69"/>
      <c r="I216" s="69"/>
      <c r="J216" s="69"/>
      <c r="K216" t="str">
        <f t="shared" si="23"/>
        <v>Not a Lease</v>
      </c>
      <c r="L216" s="69"/>
      <c r="M216" s="69"/>
      <c r="N216" s="69"/>
      <c r="O216" s="69"/>
      <c r="P216" s="69"/>
      <c r="Q216" s="69"/>
      <c r="R216" s="69"/>
      <c r="S216" s="69"/>
      <c r="T216" s="69"/>
      <c r="U216" s="69"/>
      <c r="V216" s="69"/>
      <c r="W216" s="69"/>
      <c r="X216" s="69"/>
      <c r="Y216" s="69"/>
      <c r="Z216">
        <f t="shared" si="26"/>
        <v>0</v>
      </c>
      <c r="AA216">
        <f t="shared" si="24"/>
        <v>0</v>
      </c>
      <c r="AB216">
        <f t="shared" si="25"/>
        <v>0</v>
      </c>
      <c r="AC216">
        <f>+IF(Table3[[#This Row],[Do Both Parties have to agree for extension to occur?]]="Yes",0,IF(AND(W216="Yes",Q216="Yes"),IF(R216=X216,R216,MAX(R216,X216)),IF(AND(W216="Yes",OR(Q216="No",Q216="")),X216,IF(AND(OR(W216="No",W216=""),Q216="Yes"),R216,0))))</f>
        <v>0</v>
      </c>
      <c r="AD216" s="69"/>
      <c r="AE216" s="69"/>
      <c r="AF216" t="str">
        <f>IF(AD216="Monthly",Table3[[#This Row],[Assessed Term]]*12,IF(AD216="quarterly",Table3[[#This Row],[Assessed Term]]*4,IF(AD216="annually",Table3[[#This Row],[Assessed Term]]*1,IF(AD216="weekly",Table3[[#This Row],[Assessed Term]]*52,IF(AD216="semiannually",Table3[[#This Row],[Assessed Term]]*2," ")))))</f>
        <v xml:space="preserve"> </v>
      </c>
      <c r="AG216" s="69"/>
      <c r="AH216" s="69"/>
      <c r="AI216" s="73"/>
      <c r="AJ216" s="73"/>
      <c r="AK216" s="73"/>
      <c r="AL216" s="69"/>
      <c r="AM216" s="69"/>
      <c r="AN216" s="120"/>
      <c r="AO216" s="76" t="b">
        <f>IF(K216 = "Lease",+PV(AN216/(AF216/Table3[[#This Row],[Assessed Term]]),AF216,-AI216,0,IF(AE216="Beginning",1,0)))</f>
        <v>0</v>
      </c>
      <c r="AP216" s="69"/>
      <c r="AQ216" s="76">
        <f t="shared" si="27"/>
        <v>0</v>
      </c>
      <c r="AR216" s="72"/>
    </row>
    <row r="217" spans="1:44">
      <c r="A217" s="69"/>
      <c r="B217" s="70"/>
      <c r="C217" s="69"/>
      <c r="D217" s="69"/>
      <c r="E217" s="69"/>
      <c r="F217" s="69"/>
      <c r="G217" s="69"/>
      <c r="H217" s="69"/>
      <c r="I217" s="69"/>
      <c r="J217" s="69"/>
      <c r="K217" t="str">
        <f t="shared" si="23"/>
        <v>Not a Lease</v>
      </c>
      <c r="L217" s="69"/>
      <c r="M217" s="69"/>
      <c r="N217" s="69"/>
      <c r="O217" s="69"/>
      <c r="P217" s="69"/>
      <c r="Q217" s="69"/>
      <c r="R217" s="69"/>
      <c r="S217" s="69"/>
      <c r="T217" s="69"/>
      <c r="U217" s="69"/>
      <c r="V217" s="69"/>
      <c r="W217" s="69"/>
      <c r="X217" s="69"/>
      <c r="Y217" s="69"/>
      <c r="Z217">
        <f t="shared" si="26"/>
        <v>0</v>
      </c>
      <c r="AA217">
        <f t="shared" si="24"/>
        <v>0</v>
      </c>
      <c r="AB217">
        <f t="shared" si="25"/>
        <v>0</v>
      </c>
      <c r="AC217">
        <f>+IF(Table3[[#This Row],[Do Both Parties have to agree for extension to occur?]]="Yes",0,IF(AND(W217="Yes",Q217="Yes"),IF(R217=X217,R217,MAX(R217,X217)),IF(AND(W217="Yes",OR(Q217="No",Q217="")),X217,IF(AND(OR(W217="No",W217=""),Q217="Yes"),R217,0))))</f>
        <v>0</v>
      </c>
      <c r="AD217" s="69"/>
      <c r="AE217" s="69"/>
      <c r="AF217" t="str">
        <f>IF(AD217="Monthly",Table3[[#This Row],[Assessed Term]]*12,IF(AD217="quarterly",Table3[[#This Row],[Assessed Term]]*4,IF(AD217="annually",Table3[[#This Row],[Assessed Term]]*1,IF(AD217="weekly",Table3[[#This Row],[Assessed Term]]*52,IF(AD217="semiannually",Table3[[#This Row],[Assessed Term]]*2," ")))))</f>
        <v xml:space="preserve"> </v>
      </c>
      <c r="AG217" s="69"/>
      <c r="AH217" s="69"/>
      <c r="AI217" s="73"/>
      <c r="AJ217" s="73"/>
      <c r="AK217" s="73"/>
      <c r="AL217" s="69"/>
      <c r="AM217" s="69"/>
      <c r="AN217" s="120"/>
      <c r="AO217" s="76" t="b">
        <f>IF(K217 = "Lease",+PV(AN217/(AF217/Table3[[#This Row],[Assessed Term]]),AF217,-AI217,0,IF(AE217="Beginning",1,0)))</f>
        <v>0</v>
      </c>
      <c r="AP217" s="69"/>
      <c r="AQ217" s="76">
        <f t="shared" si="27"/>
        <v>0</v>
      </c>
      <c r="AR217" s="72"/>
    </row>
    <row r="218" spans="1:44">
      <c r="A218" s="69"/>
      <c r="B218" s="70"/>
      <c r="C218" s="69"/>
      <c r="D218" s="69"/>
      <c r="E218" s="69"/>
      <c r="F218" s="69"/>
      <c r="G218" s="69"/>
      <c r="H218" s="69"/>
      <c r="I218" s="69"/>
      <c r="J218" s="69"/>
      <c r="K218" t="str">
        <f t="shared" si="23"/>
        <v>Not a Lease</v>
      </c>
      <c r="L218" s="69"/>
      <c r="M218" s="69"/>
      <c r="N218" s="69"/>
      <c r="O218" s="69"/>
      <c r="P218" s="69"/>
      <c r="Q218" s="69"/>
      <c r="R218" s="69"/>
      <c r="S218" s="69"/>
      <c r="T218" s="69"/>
      <c r="U218" s="69"/>
      <c r="V218" s="69"/>
      <c r="W218" s="69"/>
      <c r="X218" s="69"/>
      <c r="Y218" s="69"/>
      <c r="Z218">
        <f t="shared" si="26"/>
        <v>0</v>
      </c>
      <c r="AA218">
        <f t="shared" si="24"/>
        <v>0</v>
      </c>
      <c r="AB218">
        <f t="shared" si="25"/>
        <v>0</v>
      </c>
      <c r="AC218">
        <f>+IF(Table3[[#This Row],[Do Both Parties have to agree for extension to occur?]]="Yes",0,IF(AND(W218="Yes",Q218="Yes"),IF(R218=X218,R218,MAX(R218,X218)),IF(AND(W218="Yes",OR(Q218="No",Q218="")),X218,IF(AND(OR(W218="No",W218=""),Q218="Yes"),R218,0))))</f>
        <v>0</v>
      </c>
      <c r="AD218" s="69"/>
      <c r="AE218" s="69"/>
      <c r="AF218" t="str">
        <f>IF(AD218="Monthly",Table3[[#This Row],[Assessed Term]]*12,IF(AD218="quarterly",Table3[[#This Row],[Assessed Term]]*4,IF(AD218="annually",Table3[[#This Row],[Assessed Term]]*1,IF(AD218="weekly",Table3[[#This Row],[Assessed Term]]*52,IF(AD218="semiannually",Table3[[#This Row],[Assessed Term]]*2," ")))))</f>
        <v xml:space="preserve"> </v>
      </c>
      <c r="AG218" s="69"/>
      <c r="AH218" s="69"/>
      <c r="AI218" s="73"/>
      <c r="AJ218" s="73"/>
      <c r="AK218" s="73"/>
      <c r="AL218" s="69"/>
      <c r="AM218" s="69"/>
      <c r="AN218" s="120"/>
      <c r="AO218" s="76" t="b">
        <f>IF(K218 = "Lease",+PV(AN218/(AF218/Table3[[#This Row],[Assessed Term]]),AF218,-AI218,0,IF(AE218="Beginning",1,0)))</f>
        <v>0</v>
      </c>
      <c r="AP218" s="69"/>
      <c r="AQ218" s="76">
        <f t="shared" si="27"/>
        <v>0</v>
      </c>
      <c r="AR218" s="72"/>
    </row>
    <row r="219" spans="1:44">
      <c r="A219" s="69"/>
      <c r="B219" s="70"/>
      <c r="C219" s="69"/>
      <c r="D219" s="69"/>
      <c r="E219" s="69"/>
      <c r="F219" s="69"/>
      <c r="G219" s="69"/>
      <c r="H219" s="69"/>
      <c r="I219" s="69"/>
      <c r="J219" s="69"/>
      <c r="K219" t="str">
        <f t="shared" si="23"/>
        <v>Not a Lease</v>
      </c>
      <c r="L219" s="69"/>
      <c r="M219" s="69"/>
      <c r="N219" s="69"/>
      <c r="O219" s="69"/>
      <c r="P219" s="69"/>
      <c r="Q219" s="69"/>
      <c r="R219" s="69"/>
      <c r="S219" s="69"/>
      <c r="T219" s="69"/>
      <c r="U219" s="69"/>
      <c r="V219" s="69"/>
      <c r="W219" s="69"/>
      <c r="X219" s="69"/>
      <c r="Y219" s="69"/>
      <c r="Z219">
        <f t="shared" si="26"/>
        <v>0</v>
      </c>
      <c r="AA219">
        <f t="shared" si="24"/>
        <v>0</v>
      </c>
      <c r="AB219">
        <f t="shared" si="25"/>
        <v>0</v>
      </c>
      <c r="AC219">
        <f>+IF(Table3[[#This Row],[Do Both Parties have to agree for extension to occur?]]="Yes",0,IF(AND(W219="Yes",Q219="Yes"),IF(R219=X219,R219,MAX(R219,X219)),IF(AND(W219="Yes",OR(Q219="No",Q219="")),X219,IF(AND(OR(W219="No",W219=""),Q219="Yes"),R219,0))))</f>
        <v>0</v>
      </c>
      <c r="AD219" s="69"/>
      <c r="AE219" s="69"/>
      <c r="AF219" t="str">
        <f>IF(AD219="Monthly",Table3[[#This Row],[Assessed Term]]*12,IF(AD219="quarterly",Table3[[#This Row],[Assessed Term]]*4,IF(AD219="annually",Table3[[#This Row],[Assessed Term]]*1,IF(AD219="weekly",Table3[[#This Row],[Assessed Term]]*52,IF(AD219="semiannually",Table3[[#This Row],[Assessed Term]]*2," ")))))</f>
        <v xml:space="preserve"> </v>
      </c>
      <c r="AG219" s="69"/>
      <c r="AH219" s="69"/>
      <c r="AI219" s="73"/>
      <c r="AJ219" s="73"/>
      <c r="AK219" s="73"/>
      <c r="AL219" s="69"/>
      <c r="AM219" s="69"/>
      <c r="AN219" s="120"/>
      <c r="AO219" s="76" t="b">
        <f>IF(K219 = "Lease",+PV(AN219/(AF219/Table3[[#This Row],[Assessed Term]]),AF219,-AI219,0,IF(AE219="Beginning",1,0)))</f>
        <v>0</v>
      </c>
      <c r="AP219" s="69"/>
      <c r="AQ219" s="76">
        <f t="shared" si="27"/>
        <v>0</v>
      </c>
      <c r="AR219" s="72"/>
    </row>
    <row r="220" spans="1:44">
      <c r="A220" s="69"/>
      <c r="B220" s="70"/>
      <c r="C220" s="69"/>
      <c r="D220" s="69"/>
      <c r="E220" s="69"/>
      <c r="F220" s="69"/>
      <c r="G220" s="69"/>
      <c r="H220" s="69"/>
      <c r="I220" s="69"/>
      <c r="J220" s="69"/>
      <c r="K220" t="str">
        <f t="shared" si="23"/>
        <v>Not a Lease</v>
      </c>
      <c r="L220" s="69"/>
      <c r="M220" s="69"/>
      <c r="N220" s="69"/>
      <c r="O220" s="69"/>
      <c r="P220" s="69"/>
      <c r="Q220" s="69"/>
      <c r="R220" s="69"/>
      <c r="S220" s="69"/>
      <c r="T220" s="69"/>
      <c r="U220" s="69"/>
      <c r="V220" s="69"/>
      <c r="W220" s="69"/>
      <c r="X220" s="69"/>
      <c r="Y220" s="69"/>
      <c r="Z220">
        <f t="shared" si="26"/>
        <v>0</v>
      </c>
      <c r="AA220">
        <f t="shared" si="24"/>
        <v>0</v>
      </c>
      <c r="AB220">
        <f t="shared" si="25"/>
        <v>0</v>
      </c>
      <c r="AC220">
        <f>+IF(Table3[[#This Row],[Do Both Parties have to agree for extension to occur?]]="Yes",0,IF(AND(W220="Yes",Q220="Yes"),IF(R220=X220,R220,MAX(R220,X220)),IF(AND(W220="Yes",OR(Q220="No",Q220="")),X220,IF(AND(OR(W220="No",W220=""),Q220="Yes"),R220,0))))</f>
        <v>0</v>
      </c>
      <c r="AD220" s="69"/>
      <c r="AE220" s="69"/>
      <c r="AF220" t="str">
        <f>IF(AD220="Monthly",Table3[[#This Row],[Assessed Term]]*12,IF(AD220="quarterly",Table3[[#This Row],[Assessed Term]]*4,IF(AD220="annually",Table3[[#This Row],[Assessed Term]]*1,IF(AD220="weekly",Table3[[#This Row],[Assessed Term]]*52,IF(AD220="semiannually",Table3[[#This Row],[Assessed Term]]*2," ")))))</f>
        <v xml:space="preserve"> </v>
      </c>
      <c r="AG220" s="69"/>
      <c r="AH220" s="69"/>
      <c r="AI220" s="73"/>
      <c r="AJ220" s="73"/>
      <c r="AK220" s="73"/>
      <c r="AL220" s="69"/>
      <c r="AM220" s="69"/>
      <c r="AN220" s="120"/>
      <c r="AO220" s="76" t="b">
        <f>IF(K220 = "Lease",+PV(AN220/(AF220/Table3[[#This Row],[Assessed Term]]),AF220,-AI220,0,IF(AE220="Beginning",1,0)))</f>
        <v>0</v>
      </c>
      <c r="AP220" s="69"/>
      <c r="AQ220" s="76">
        <f t="shared" si="27"/>
        <v>0</v>
      </c>
      <c r="AR220" s="72"/>
    </row>
    <row r="221" spans="1:44">
      <c r="A221" s="69"/>
      <c r="B221" s="70"/>
      <c r="C221" s="69"/>
      <c r="D221" s="69"/>
      <c r="E221" s="69"/>
      <c r="F221" s="69"/>
      <c r="G221" s="69"/>
      <c r="H221" s="69"/>
      <c r="I221" s="69"/>
      <c r="J221" s="69"/>
      <c r="K221" t="str">
        <f t="shared" si="23"/>
        <v>Not a Lease</v>
      </c>
      <c r="L221" s="69"/>
      <c r="M221" s="69"/>
      <c r="N221" s="69"/>
      <c r="O221" s="69"/>
      <c r="P221" s="69"/>
      <c r="Q221" s="69"/>
      <c r="R221" s="69"/>
      <c r="S221" s="69"/>
      <c r="T221" s="69"/>
      <c r="U221" s="69"/>
      <c r="V221" s="69"/>
      <c r="W221" s="69"/>
      <c r="X221" s="69"/>
      <c r="Y221" s="69"/>
      <c r="Z221">
        <f t="shared" si="26"/>
        <v>0</v>
      </c>
      <c r="AA221">
        <f t="shared" si="24"/>
        <v>0</v>
      </c>
      <c r="AB221">
        <f t="shared" si="25"/>
        <v>0</v>
      </c>
      <c r="AC221">
        <f>+IF(Table3[[#This Row],[Do Both Parties have to agree for extension to occur?]]="Yes",0,IF(AND(W221="Yes",Q221="Yes"),IF(R221=X221,R221,MAX(R221,X221)),IF(AND(W221="Yes",OR(Q221="No",Q221="")),X221,IF(AND(OR(W221="No",W221=""),Q221="Yes"),R221,0))))</f>
        <v>0</v>
      </c>
      <c r="AD221" s="69"/>
      <c r="AE221" s="69"/>
      <c r="AF221" t="str">
        <f>IF(AD221="Monthly",Table3[[#This Row],[Assessed Term]]*12,IF(AD221="quarterly",Table3[[#This Row],[Assessed Term]]*4,IF(AD221="annually",Table3[[#This Row],[Assessed Term]]*1,IF(AD221="weekly",Table3[[#This Row],[Assessed Term]]*52,IF(AD221="semiannually",Table3[[#This Row],[Assessed Term]]*2," ")))))</f>
        <v xml:space="preserve"> </v>
      </c>
      <c r="AG221" s="69"/>
      <c r="AH221" s="69"/>
      <c r="AI221" s="73"/>
      <c r="AJ221" s="73"/>
      <c r="AK221" s="73"/>
      <c r="AL221" s="69"/>
      <c r="AM221" s="69"/>
      <c r="AN221" s="120"/>
      <c r="AO221" s="76" t="b">
        <f>IF(K221 = "Lease",+PV(AN221/(AF221/Table3[[#This Row],[Assessed Term]]),AF221,-AI221,0,IF(AE221="Beginning",1,0)))</f>
        <v>0</v>
      </c>
      <c r="AP221" s="69"/>
      <c r="AQ221" s="76">
        <f t="shared" si="27"/>
        <v>0</v>
      </c>
      <c r="AR221" s="72"/>
    </row>
    <row r="222" spans="1:44">
      <c r="A222" s="69"/>
      <c r="B222" s="70"/>
      <c r="C222" s="69"/>
      <c r="D222" s="69"/>
      <c r="E222" s="69"/>
      <c r="F222" s="69"/>
      <c r="G222" s="69"/>
      <c r="H222" s="69"/>
      <c r="I222" s="69"/>
      <c r="J222" s="69"/>
      <c r="K222" t="str">
        <f t="shared" si="23"/>
        <v>Not a Lease</v>
      </c>
      <c r="L222" s="69"/>
      <c r="M222" s="69"/>
      <c r="N222" s="69"/>
      <c r="O222" s="69"/>
      <c r="P222" s="69"/>
      <c r="Q222" s="69"/>
      <c r="R222" s="69"/>
      <c r="S222" s="69"/>
      <c r="T222" s="69"/>
      <c r="U222" s="69"/>
      <c r="V222" s="69"/>
      <c r="W222" s="69"/>
      <c r="X222" s="69"/>
      <c r="Y222" s="69"/>
      <c r="Z222">
        <f t="shared" si="26"/>
        <v>0</v>
      </c>
      <c r="AA222">
        <f t="shared" si="24"/>
        <v>0</v>
      </c>
      <c r="AB222">
        <f t="shared" si="25"/>
        <v>0</v>
      </c>
      <c r="AC222">
        <f>+IF(Table3[[#This Row],[Do Both Parties have to agree for extension to occur?]]="Yes",0,IF(AND(W222="Yes",Q222="Yes"),IF(R222=X222,R222,MAX(R222,X222)),IF(AND(W222="Yes",OR(Q222="No",Q222="")),X222,IF(AND(OR(W222="No",W222=""),Q222="Yes"),R222,0))))</f>
        <v>0</v>
      </c>
      <c r="AD222" s="69"/>
      <c r="AE222" s="69"/>
      <c r="AF222" t="str">
        <f>IF(AD222="Monthly",Table3[[#This Row],[Assessed Term]]*12,IF(AD222="quarterly",Table3[[#This Row],[Assessed Term]]*4,IF(AD222="annually",Table3[[#This Row],[Assessed Term]]*1,IF(AD222="weekly",Table3[[#This Row],[Assessed Term]]*52,IF(AD222="semiannually",Table3[[#This Row],[Assessed Term]]*2," ")))))</f>
        <v xml:space="preserve"> </v>
      </c>
      <c r="AG222" s="69"/>
      <c r="AH222" s="69"/>
      <c r="AI222" s="73"/>
      <c r="AJ222" s="73"/>
      <c r="AK222" s="73"/>
      <c r="AL222" s="69"/>
      <c r="AM222" s="69"/>
      <c r="AN222" s="120"/>
      <c r="AO222" s="76" t="b">
        <f>IF(K222 = "Lease",+PV(AN222/(AF222/Table3[[#This Row],[Assessed Term]]),AF222,-AI222,0,IF(AE222="Beginning",1,0)))</f>
        <v>0</v>
      </c>
      <c r="AP222" s="69"/>
      <c r="AQ222" s="76">
        <f t="shared" si="27"/>
        <v>0</v>
      </c>
      <c r="AR222" s="72"/>
    </row>
    <row r="223" spans="1:44">
      <c r="A223" s="69"/>
      <c r="B223" s="70"/>
      <c r="C223" s="69"/>
      <c r="D223" s="69"/>
      <c r="E223" s="69"/>
      <c r="F223" s="69"/>
      <c r="G223" s="69"/>
      <c r="H223" s="69"/>
      <c r="I223" s="69"/>
      <c r="J223" s="69"/>
      <c r="K223" t="str">
        <f t="shared" si="23"/>
        <v>Not a Lease</v>
      </c>
      <c r="L223" s="69"/>
      <c r="M223" s="69"/>
      <c r="N223" s="69"/>
      <c r="O223" s="69"/>
      <c r="P223" s="69"/>
      <c r="Q223" s="69"/>
      <c r="R223" s="69"/>
      <c r="S223" s="69"/>
      <c r="T223" s="69"/>
      <c r="U223" s="69"/>
      <c r="V223" s="69"/>
      <c r="W223" s="69"/>
      <c r="X223" s="69"/>
      <c r="Y223" s="69"/>
      <c r="Z223">
        <f t="shared" si="26"/>
        <v>0</v>
      </c>
      <c r="AA223">
        <f t="shared" si="24"/>
        <v>0</v>
      </c>
      <c r="AB223">
        <f t="shared" si="25"/>
        <v>0</v>
      </c>
      <c r="AC223">
        <f>+IF(Table3[[#This Row],[Do Both Parties have to agree for extension to occur?]]="Yes",0,IF(AND(W223="Yes",Q223="Yes"),IF(R223=X223,R223,MAX(R223,X223)),IF(AND(W223="Yes",OR(Q223="No",Q223="")),X223,IF(AND(OR(W223="No",W223=""),Q223="Yes"),R223,0))))</f>
        <v>0</v>
      </c>
      <c r="AD223" s="69"/>
      <c r="AE223" s="69"/>
      <c r="AF223" t="str">
        <f>IF(AD223="Monthly",Table3[[#This Row],[Assessed Term]]*12,IF(AD223="quarterly",Table3[[#This Row],[Assessed Term]]*4,IF(AD223="annually",Table3[[#This Row],[Assessed Term]]*1,IF(AD223="weekly",Table3[[#This Row],[Assessed Term]]*52,IF(AD223="semiannually",Table3[[#This Row],[Assessed Term]]*2," ")))))</f>
        <v xml:space="preserve"> </v>
      </c>
      <c r="AG223" s="69"/>
      <c r="AH223" s="69"/>
      <c r="AI223" s="73"/>
      <c r="AJ223" s="73"/>
      <c r="AK223" s="73"/>
      <c r="AL223" s="69"/>
      <c r="AM223" s="69"/>
      <c r="AN223" s="120"/>
      <c r="AO223" s="76" t="b">
        <f>IF(K223 = "Lease",+PV(AN223/(AF223/Table3[[#This Row],[Assessed Term]]),AF223,-AI223,0,IF(AE223="Beginning",1,0)))</f>
        <v>0</v>
      </c>
      <c r="AP223" s="69"/>
      <c r="AQ223" s="76">
        <f t="shared" si="27"/>
        <v>0</v>
      </c>
      <c r="AR223" s="72"/>
    </row>
    <row r="224" spans="1:44">
      <c r="A224" s="69"/>
      <c r="B224" s="70"/>
      <c r="C224" s="69"/>
      <c r="D224" s="69"/>
      <c r="E224" s="69"/>
      <c r="F224" s="69"/>
      <c r="G224" s="69"/>
      <c r="H224" s="69"/>
      <c r="I224" s="69"/>
      <c r="J224" s="69"/>
      <c r="K224" t="str">
        <f t="shared" si="23"/>
        <v>Not a Lease</v>
      </c>
      <c r="L224" s="69"/>
      <c r="M224" s="69"/>
      <c r="N224" s="69"/>
      <c r="O224" s="69"/>
      <c r="P224" s="69"/>
      <c r="Q224" s="69"/>
      <c r="R224" s="69"/>
      <c r="S224" s="69"/>
      <c r="T224" s="69"/>
      <c r="U224" s="69"/>
      <c r="V224" s="69"/>
      <c r="W224" s="69"/>
      <c r="X224" s="69"/>
      <c r="Y224" s="69"/>
      <c r="Z224">
        <f t="shared" si="26"/>
        <v>0</v>
      </c>
      <c r="AA224">
        <f t="shared" si="24"/>
        <v>0</v>
      </c>
      <c r="AB224">
        <f t="shared" si="25"/>
        <v>0</v>
      </c>
      <c r="AC224">
        <f>+IF(Table3[[#This Row],[Do Both Parties have to agree for extension to occur?]]="Yes",0,IF(AND(W224="Yes",Q224="Yes"),IF(R224=X224,R224,MAX(R224,X224)),IF(AND(W224="Yes",OR(Q224="No",Q224="")),X224,IF(AND(OR(W224="No",W224=""),Q224="Yes"),R224,0))))</f>
        <v>0</v>
      </c>
      <c r="AD224" s="69"/>
      <c r="AE224" s="69"/>
      <c r="AF224" t="str">
        <f>IF(AD224="Monthly",Table3[[#This Row],[Assessed Term]]*12,IF(AD224="quarterly",Table3[[#This Row],[Assessed Term]]*4,IF(AD224="annually",Table3[[#This Row],[Assessed Term]]*1,IF(AD224="weekly",Table3[[#This Row],[Assessed Term]]*52,IF(AD224="semiannually",Table3[[#This Row],[Assessed Term]]*2," ")))))</f>
        <v xml:space="preserve"> </v>
      </c>
      <c r="AG224" s="69"/>
      <c r="AH224" s="69"/>
      <c r="AI224" s="73"/>
      <c r="AJ224" s="73"/>
      <c r="AK224" s="73"/>
      <c r="AL224" s="69"/>
      <c r="AM224" s="69"/>
      <c r="AN224" s="120"/>
      <c r="AO224" s="76" t="b">
        <f>IF(K224 = "Lease",+PV(AN224/(AF224/Table3[[#This Row],[Assessed Term]]),AF224,-AI224,0,IF(AE224="Beginning",1,0)))</f>
        <v>0</v>
      </c>
      <c r="AP224" s="69"/>
      <c r="AQ224" s="76">
        <f t="shared" si="27"/>
        <v>0</v>
      </c>
      <c r="AR224" s="72"/>
    </row>
    <row r="225" spans="1:44">
      <c r="A225" s="69"/>
      <c r="B225" s="70"/>
      <c r="C225" s="69"/>
      <c r="D225" s="69"/>
      <c r="E225" s="69"/>
      <c r="F225" s="69"/>
      <c r="G225" s="69"/>
      <c r="H225" s="69"/>
      <c r="I225" s="69"/>
      <c r="J225" s="69"/>
      <c r="K225" t="str">
        <f t="shared" si="23"/>
        <v>Not a Lease</v>
      </c>
      <c r="L225" s="69"/>
      <c r="M225" s="69"/>
      <c r="N225" s="69"/>
      <c r="O225" s="69"/>
      <c r="P225" s="69"/>
      <c r="Q225" s="69"/>
      <c r="R225" s="69"/>
      <c r="S225" s="69"/>
      <c r="T225" s="69"/>
      <c r="U225" s="69"/>
      <c r="V225" s="69"/>
      <c r="W225" s="69"/>
      <c r="X225" s="69"/>
      <c r="Y225" s="69"/>
      <c r="Z225">
        <f t="shared" ref="Z225:Z288" si="28">+IF(AB225=0,AA225+AC225,AB225)</f>
        <v>0</v>
      </c>
      <c r="AA225">
        <f t="shared" si="24"/>
        <v>0</v>
      </c>
      <c r="AB225">
        <f t="shared" si="25"/>
        <v>0</v>
      </c>
      <c r="AC225">
        <f>+IF(Table3[[#This Row],[Do Both Parties have to agree for extension to occur?]]="Yes",0,IF(AND(W225="Yes",Q225="Yes"),IF(R225=X225,R225,MAX(R225,X225)),IF(AND(W225="Yes",OR(Q225="No",Q225="")),X225,IF(AND(OR(W225="No",W225=""),Q225="Yes"),R225,0))))</f>
        <v>0</v>
      </c>
      <c r="AD225" s="69"/>
      <c r="AE225" s="69"/>
      <c r="AF225" t="str">
        <f>IF(AD225="Monthly",Table3[[#This Row],[Assessed Term]]*12,IF(AD225="quarterly",Table3[[#This Row],[Assessed Term]]*4,IF(AD225="annually",Table3[[#This Row],[Assessed Term]]*1,IF(AD225="weekly",Table3[[#This Row],[Assessed Term]]*52,IF(AD225="semiannually",Table3[[#This Row],[Assessed Term]]*2," ")))))</f>
        <v xml:space="preserve"> </v>
      </c>
      <c r="AG225" s="69"/>
      <c r="AH225" s="69"/>
      <c r="AI225" s="73"/>
      <c r="AJ225" s="73"/>
      <c r="AK225" s="73"/>
      <c r="AL225" s="69"/>
      <c r="AM225" s="69"/>
      <c r="AN225" s="120"/>
      <c r="AO225" s="76" t="b">
        <f>IF(K225 = "Lease",+PV(AN225/(AF225/Table3[[#This Row],[Assessed Term]]),AF225,-AI225,0,IF(AE225="Beginning",1,0)))</f>
        <v>0</v>
      </c>
      <c r="AP225" s="69"/>
      <c r="AQ225" s="76">
        <f t="shared" ref="AQ225:AQ288" si="29">+IF(AP225 = "no",AO225,0)</f>
        <v>0</v>
      </c>
      <c r="AR225" s="72"/>
    </row>
    <row r="226" spans="1:44">
      <c r="A226" s="69"/>
      <c r="B226" s="70"/>
      <c r="C226" s="69"/>
      <c r="D226" s="69"/>
      <c r="E226" s="69"/>
      <c r="F226" s="69"/>
      <c r="G226" s="69"/>
      <c r="H226" s="69"/>
      <c r="I226" s="69"/>
      <c r="J226" s="69"/>
      <c r="K226" t="str">
        <f t="shared" si="23"/>
        <v>Not a Lease</v>
      </c>
      <c r="L226" s="69"/>
      <c r="M226" s="69"/>
      <c r="N226" s="69"/>
      <c r="O226" s="69"/>
      <c r="P226" s="69"/>
      <c r="Q226" s="69"/>
      <c r="R226" s="69"/>
      <c r="S226" s="69"/>
      <c r="T226" s="69"/>
      <c r="U226" s="69"/>
      <c r="V226" s="69"/>
      <c r="W226" s="69"/>
      <c r="X226" s="69"/>
      <c r="Y226" s="69"/>
      <c r="Z226">
        <f t="shared" si="28"/>
        <v>0</v>
      </c>
      <c r="AA226">
        <f t="shared" si="24"/>
        <v>0</v>
      </c>
      <c r="AB226">
        <f t="shared" si="25"/>
        <v>0</v>
      </c>
      <c r="AC226">
        <f>+IF(Table3[[#This Row],[Do Both Parties have to agree for extension to occur?]]="Yes",0,IF(AND(W226="Yes",Q226="Yes"),IF(R226=X226,R226,MAX(R226,X226)),IF(AND(W226="Yes",OR(Q226="No",Q226="")),X226,IF(AND(OR(W226="No",W226=""),Q226="Yes"),R226,0))))</f>
        <v>0</v>
      </c>
      <c r="AD226" s="69"/>
      <c r="AE226" s="69"/>
      <c r="AF226" t="str">
        <f>IF(AD226="Monthly",Table3[[#This Row],[Assessed Term]]*12,IF(AD226="quarterly",Table3[[#This Row],[Assessed Term]]*4,IF(AD226="annually",Table3[[#This Row],[Assessed Term]]*1,IF(AD226="weekly",Table3[[#This Row],[Assessed Term]]*52,IF(AD226="semiannually",Table3[[#This Row],[Assessed Term]]*2," ")))))</f>
        <v xml:space="preserve"> </v>
      </c>
      <c r="AG226" s="69"/>
      <c r="AH226" s="69"/>
      <c r="AI226" s="73"/>
      <c r="AJ226" s="73"/>
      <c r="AK226" s="73"/>
      <c r="AL226" s="69"/>
      <c r="AM226" s="69"/>
      <c r="AN226" s="120"/>
      <c r="AO226" s="76" t="b">
        <f>IF(K226 = "Lease",+PV(AN226/(AF226/Table3[[#This Row],[Assessed Term]]),AF226,-AI226,0,IF(AE226="Beginning",1,0)))</f>
        <v>0</v>
      </c>
      <c r="AP226" s="69"/>
      <c r="AQ226" s="76">
        <f t="shared" si="29"/>
        <v>0</v>
      </c>
      <c r="AR226" s="72"/>
    </row>
    <row r="227" spans="1:44">
      <c r="A227" s="69"/>
      <c r="B227" s="70"/>
      <c r="C227" s="69"/>
      <c r="D227" s="69"/>
      <c r="E227" s="69"/>
      <c r="F227" s="69"/>
      <c r="G227" s="69"/>
      <c r="H227" s="69"/>
      <c r="I227" s="69"/>
      <c r="J227" s="69"/>
      <c r="K227" t="str">
        <f t="shared" si="23"/>
        <v>Not a Lease</v>
      </c>
      <c r="L227" s="69"/>
      <c r="M227" s="69"/>
      <c r="N227" s="69"/>
      <c r="O227" s="69"/>
      <c r="P227" s="69"/>
      <c r="Q227" s="69"/>
      <c r="R227" s="69"/>
      <c r="S227" s="69"/>
      <c r="T227" s="69"/>
      <c r="U227" s="69"/>
      <c r="V227" s="69"/>
      <c r="W227" s="69"/>
      <c r="X227" s="69"/>
      <c r="Y227" s="69"/>
      <c r="Z227">
        <f t="shared" si="28"/>
        <v>0</v>
      </c>
      <c r="AA227">
        <f t="shared" si="24"/>
        <v>0</v>
      </c>
      <c r="AB227">
        <f t="shared" si="25"/>
        <v>0</v>
      </c>
      <c r="AC227">
        <f>+IF(Table3[[#This Row],[Do Both Parties have to agree for extension to occur?]]="Yes",0,IF(AND(W227="Yes",Q227="Yes"),IF(R227=X227,R227,MAX(R227,X227)),IF(AND(W227="Yes",OR(Q227="No",Q227="")),X227,IF(AND(OR(W227="No",W227=""),Q227="Yes"),R227,0))))</f>
        <v>0</v>
      </c>
      <c r="AD227" s="69"/>
      <c r="AE227" s="69"/>
      <c r="AF227" t="str">
        <f>IF(AD227="Monthly",Table3[[#This Row],[Assessed Term]]*12,IF(AD227="quarterly",Table3[[#This Row],[Assessed Term]]*4,IF(AD227="annually",Table3[[#This Row],[Assessed Term]]*1,IF(AD227="weekly",Table3[[#This Row],[Assessed Term]]*52,IF(AD227="semiannually",Table3[[#This Row],[Assessed Term]]*2," ")))))</f>
        <v xml:space="preserve"> </v>
      </c>
      <c r="AG227" s="69"/>
      <c r="AH227" s="69"/>
      <c r="AI227" s="73"/>
      <c r="AJ227" s="73"/>
      <c r="AK227" s="73"/>
      <c r="AL227" s="69"/>
      <c r="AM227" s="69"/>
      <c r="AN227" s="120"/>
      <c r="AO227" s="76" t="b">
        <f>IF(K227 = "Lease",+PV(AN227/(AF227/Table3[[#This Row],[Assessed Term]]),AF227,-AI227,0,IF(AE227="Beginning",1,0)))</f>
        <v>0</v>
      </c>
      <c r="AP227" s="69"/>
      <c r="AQ227" s="76">
        <f t="shared" si="29"/>
        <v>0</v>
      </c>
      <c r="AR227" s="72"/>
    </row>
    <row r="228" spans="1:44">
      <c r="A228" s="69"/>
      <c r="B228" s="70"/>
      <c r="C228" s="69"/>
      <c r="D228" s="69"/>
      <c r="E228" s="69"/>
      <c r="F228" s="69"/>
      <c r="G228" s="69"/>
      <c r="H228" s="69"/>
      <c r="I228" s="69"/>
      <c r="J228" s="69"/>
      <c r="K228" t="str">
        <f t="shared" si="23"/>
        <v>Not a Lease</v>
      </c>
      <c r="L228" s="69"/>
      <c r="M228" s="69"/>
      <c r="N228" s="69"/>
      <c r="O228" s="69"/>
      <c r="P228" s="69"/>
      <c r="Q228" s="69"/>
      <c r="R228" s="69"/>
      <c r="S228" s="69"/>
      <c r="T228" s="69"/>
      <c r="U228" s="69"/>
      <c r="V228" s="69"/>
      <c r="W228" s="69"/>
      <c r="X228" s="69"/>
      <c r="Y228" s="69"/>
      <c r="Z228">
        <f t="shared" si="28"/>
        <v>0</v>
      </c>
      <c r="AA228">
        <f t="shared" si="24"/>
        <v>0</v>
      </c>
      <c r="AB228">
        <f t="shared" si="25"/>
        <v>0</v>
      </c>
      <c r="AC228">
        <f>+IF(Table3[[#This Row],[Do Both Parties have to agree for extension to occur?]]="Yes",0,IF(AND(W228="Yes",Q228="Yes"),IF(R228=X228,R228,MAX(R228,X228)),IF(AND(W228="Yes",OR(Q228="No",Q228="")),X228,IF(AND(OR(W228="No",W228=""),Q228="Yes"),R228,0))))</f>
        <v>0</v>
      </c>
      <c r="AD228" s="69"/>
      <c r="AE228" s="69"/>
      <c r="AF228" t="str">
        <f>IF(AD228="Monthly",Table3[[#This Row],[Assessed Term]]*12,IF(AD228="quarterly",Table3[[#This Row],[Assessed Term]]*4,IF(AD228="annually",Table3[[#This Row],[Assessed Term]]*1,IF(AD228="weekly",Table3[[#This Row],[Assessed Term]]*52,IF(AD228="semiannually",Table3[[#This Row],[Assessed Term]]*2," ")))))</f>
        <v xml:space="preserve"> </v>
      </c>
      <c r="AG228" s="69"/>
      <c r="AH228" s="69"/>
      <c r="AI228" s="73"/>
      <c r="AJ228" s="73"/>
      <c r="AK228" s="73"/>
      <c r="AL228" s="69"/>
      <c r="AM228" s="69"/>
      <c r="AN228" s="120"/>
      <c r="AO228" s="76" t="b">
        <f>IF(K228 = "Lease",+PV(AN228/(AF228/Table3[[#This Row],[Assessed Term]]),AF228,-AI228,0,IF(AE228="Beginning",1,0)))</f>
        <v>0</v>
      </c>
      <c r="AP228" s="69"/>
      <c r="AQ228" s="76">
        <f t="shared" si="29"/>
        <v>0</v>
      </c>
      <c r="AR228" s="72"/>
    </row>
    <row r="229" spans="1:44">
      <c r="A229" s="69"/>
      <c r="B229" s="70"/>
      <c r="C229" s="69"/>
      <c r="D229" s="69"/>
      <c r="E229" s="69"/>
      <c r="F229" s="69"/>
      <c r="G229" s="69"/>
      <c r="H229" s="69"/>
      <c r="I229" s="69"/>
      <c r="J229" s="69"/>
      <c r="K229" t="str">
        <f t="shared" si="23"/>
        <v>Not a Lease</v>
      </c>
      <c r="L229" s="69"/>
      <c r="M229" s="69"/>
      <c r="N229" s="69"/>
      <c r="O229" s="69"/>
      <c r="P229" s="69"/>
      <c r="Q229" s="69"/>
      <c r="R229" s="69"/>
      <c r="S229" s="69"/>
      <c r="T229" s="69"/>
      <c r="U229" s="69"/>
      <c r="V229" s="69"/>
      <c r="W229" s="69"/>
      <c r="X229" s="69"/>
      <c r="Y229" s="69"/>
      <c r="Z229">
        <f t="shared" si="28"/>
        <v>0</v>
      </c>
      <c r="AA229">
        <f t="shared" si="24"/>
        <v>0</v>
      </c>
      <c r="AB229">
        <f t="shared" si="25"/>
        <v>0</v>
      </c>
      <c r="AC229">
        <f>+IF(Table3[[#This Row],[Do Both Parties have to agree for extension to occur?]]="Yes",0,IF(AND(W229="Yes",Q229="Yes"),IF(R229=X229,R229,MAX(R229,X229)),IF(AND(W229="Yes",OR(Q229="No",Q229="")),X229,IF(AND(OR(W229="No",W229=""),Q229="Yes"),R229,0))))</f>
        <v>0</v>
      </c>
      <c r="AD229" s="69"/>
      <c r="AE229" s="69"/>
      <c r="AF229" t="str">
        <f>IF(AD229="Monthly",Table3[[#This Row],[Assessed Term]]*12,IF(AD229="quarterly",Table3[[#This Row],[Assessed Term]]*4,IF(AD229="annually",Table3[[#This Row],[Assessed Term]]*1,IF(AD229="weekly",Table3[[#This Row],[Assessed Term]]*52,IF(AD229="semiannually",Table3[[#This Row],[Assessed Term]]*2," ")))))</f>
        <v xml:space="preserve"> </v>
      </c>
      <c r="AG229" s="69"/>
      <c r="AH229" s="69"/>
      <c r="AI229" s="73"/>
      <c r="AJ229" s="73"/>
      <c r="AK229" s="73"/>
      <c r="AL229" s="69"/>
      <c r="AM229" s="69"/>
      <c r="AN229" s="120"/>
      <c r="AO229" s="76" t="b">
        <f>IF(K229 = "Lease",+PV(AN229/(AF229/Table3[[#This Row],[Assessed Term]]),AF229,-AI229,0,IF(AE229="Beginning",1,0)))</f>
        <v>0</v>
      </c>
      <c r="AP229" s="69"/>
      <c r="AQ229" s="76">
        <f t="shared" si="29"/>
        <v>0</v>
      </c>
      <c r="AR229" s="72"/>
    </row>
    <row r="230" spans="1:44">
      <c r="A230" s="69"/>
      <c r="B230" s="70"/>
      <c r="C230" s="69"/>
      <c r="D230" s="69"/>
      <c r="E230" s="69"/>
      <c r="F230" s="69"/>
      <c r="G230" s="69"/>
      <c r="H230" s="69"/>
      <c r="I230" s="69"/>
      <c r="J230" s="69"/>
      <c r="K230" t="str">
        <f t="shared" si="23"/>
        <v>Not a Lease</v>
      </c>
      <c r="L230" s="69"/>
      <c r="M230" s="69"/>
      <c r="N230" s="69"/>
      <c r="O230" s="69"/>
      <c r="P230" s="69"/>
      <c r="Q230" s="69"/>
      <c r="R230" s="69"/>
      <c r="S230" s="69"/>
      <c r="T230" s="69"/>
      <c r="U230" s="69"/>
      <c r="V230" s="69"/>
      <c r="W230" s="69"/>
      <c r="X230" s="69"/>
      <c r="Y230" s="69"/>
      <c r="Z230">
        <f t="shared" si="28"/>
        <v>0</v>
      </c>
      <c r="AA230">
        <f t="shared" si="24"/>
        <v>0</v>
      </c>
      <c r="AB230">
        <f t="shared" si="25"/>
        <v>0</v>
      </c>
      <c r="AC230">
        <f>+IF(Table3[[#This Row],[Do Both Parties have to agree for extension to occur?]]="Yes",0,IF(AND(W230="Yes",Q230="Yes"),IF(R230=X230,R230,MAX(R230,X230)),IF(AND(W230="Yes",OR(Q230="No",Q230="")),X230,IF(AND(OR(W230="No",W230=""),Q230="Yes"),R230,0))))</f>
        <v>0</v>
      </c>
      <c r="AD230" s="69"/>
      <c r="AE230" s="69"/>
      <c r="AF230" t="str">
        <f>IF(AD230="Monthly",Table3[[#This Row],[Assessed Term]]*12,IF(AD230="quarterly",Table3[[#This Row],[Assessed Term]]*4,IF(AD230="annually",Table3[[#This Row],[Assessed Term]]*1,IF(AD230="weekly",Table3[[#This Row],[Assessed Term]]*52,IF(AD230="semiannually",Table3[[#This Row],[Assessed Term]]*2," ")))))</f>
        <v xml:space="preserve"> </v>
      </c>
      <c r="AG230" s="69"/>
      <c r="AH230" s="69"/>
      <c r="AI230" s="73"/>
      <c r="AJ230" s="73"/>
      <c r="AK230" s="73"/>
      <c r="AL230" s="69"/>
      <c r="AM230" s="69"/>
      <c r="AN230" s="120"/>
      <c r="AO230" s="76" t="b">
        <f>IF(K230 = "Lease",+PV(AN230/(AF230/Table3[[#This Row],[Assessed Term]]),AF230,-AI230,0,IF(AE230="Beginning",1,0)))</f>
        <v>0</v>
      </c>
      <c r="AP230" s="69"/>
      <c r="AQ230" s="76">
        <f t="shared" si="29"/>
        <v>0</v>
      </c>
      <c r="AR230" s="72"/>
    </row>
    <row r="231" spans="1:44">
      <c r="A231" s="69"/>
      <c r="B231" s="70"/>
      <c r="C231" s="69"/>
      <c r="D231" s="69"/>
      <c r="E231" s="69"/>
      <c r="F231" s="69"/>
      <c r="G231" s="69"/>
      <c r="H231" s="69"/>
      <c r="I231" s="69"/>
      <c r="J231" s="69"/>
      <c r="K231" t="str">
        <f t="shared" si="23"/>
        <v>Not a Lease</v>
      </c>
      <c r="L231" s="69"/>
      <c r="M231" s="69"/>
      <c r="N231" s="69"/>
      <c r="O231" s="69"/>
      <c r="P231" s="69"/>
      <c r="Q231" s="69"/>
      <c r="R231" s="69"/>
      <c r="S231" s="69"/>
      <c r="T231" s="69"/>
      <c r="U231" s="69"/>
      <c r="V231" s="69"/>
      <c r="W231" s="69"/>
      <c r="X231" s="69"/>
      <c r="Y231" s="69"/>
      <c r="Z231">
        <f t="shared" si="28"/>
        <v>0</v>
      </c>
      <c r="AA231">
        <f t="shared" si="24"/>
        <v>0</v>
      </c>
      <c r="AB231">
        <f t="shared" si="25"/>
        <v>0</v>
      </c>
      <c r="AC231">
        <f>+IF(Table3[[#This Row],[Do Both Parties have to agree for extension to occur?]]="Yes",0,IF(AND(W231="Yes",Q231="Yes"),IF(R231=X231,R231,MAX(R231,X231)),IF(AND(W231="Yes",OR(Q231="No",Q231="")),X231,IF(AND(OR(W231="No",W231=""),Q231="Yes"),R231,0))))</f>
        <v>0</v>
      </c>
      <c r="AD231" s="69"/>
      <c r="AE231" s="69"/>
      <c r="AF231" t="str">
        <f>IF(AD231="Monthly",Table3[[#This Row],[Assessed Term]]*12,IF(AD231="quarterly",Table3[[#This Row],[Assessed Term]]*4,IF(AD231="annually",Table3[[#This Row],[Assessed Term]]*1,IF(AD231="weekly",Table3[[#This Row],[Assessed Term]]*52,IF(AD231="semiannually",Table3[[#This Row],[Assessed Term]]*2," ")))))</f>
        <v xml:space="preserve"> </v>
      </c>
      <c r="AG231" s="69"/>
      <c r="AH231" s="69"/>
      <c r="AI231" s="73"/>
      <c r="AJ231" s="73"/>
      <c r="AK231" s="73"/>
      <c r="AL231" s="69"/>
      <c r="AM231" s="69"/>
      <c r="AN231" s="120"/>
      <c r="AO231" s="76" t="b">
        <f>IF(K231 = "Lease",+PV(AN231/(AF231/Table3[[#This Row],[Assessed Term]]),AF231,-AI231,0,IF(AE231="Beginning",1,0)))</f>
        <v>0</v>
      </c>
      <c r="AP231" s="69"/>
      <c r="AQ231" s="76">
        <f t="shared" si="29"/>
        <v>0</v>
      </c>
      <c r="AR231" s="72"/>
    </row>
    <row r="232" spans="1:44">
      <c r="A232" s="69"/>
      <c r="B232" s="70"/>
      <c r="C232" s="69"/>
      <c r="D232" s="69"/>
      <c r="E232" s="69"/>
      <c r="F232" s="69"/>
      <c r="G232" s="69"/>
      <c r="H232" s="69"/>
      <c r="I232" s="69"/>
      <c r="J232" s="69"/>
      <c r="K232" t="str">
        <f t="shared" si="23"/>
        <v>Not a Lease</v>
      </c>
      <c r="L232" s="69"/>
      <c r="M232" s="69"/>
      <c r="N232" s="69"/>
      <c r="O232" s="69"/>
      <c r="P232" s="69"/>
      <c r="Q232" s="69"/>
      <c r="R232" s="69"/>
      <c r="S232" s="69"/>
      <c r="T232" s="69"/>
      <c r="U232" s="69"/>
      <c r="V232" s="69"/>
      <c r="W232" s="69"/>
      <c r="X232" s="69"/>
      <c r="Y232" s="69"/>
      <c r="Z232">
        <f t="shared" si="28"/>
        <v>0</v>
      </c>
      <c r="AA232">
        <f t="shared" si="24"/>
        <v>0</v>
      </c>
      <c r="AB232">
        <f t="shared" si="25"/>
        <v>0</v>
      </c>
      <c r="AC232">
        <f>+IF(Table3[[#This Row],[Do Both Parties have to agree for extension to occur?]]="Yes",0,IF(AND(W232="Yes",Q232="Yes"),IF(R232=X232,R232,MAX(R232,X232)),IF(AND(W232="Yes",OR(Q232="No",Q232="")),X232,IF(AND(OR(W232="No",W232=""),Q232="Yes"),R232,0))))</f>
        <v>0</v>
      </c>
      <c r="AD232" s="69"/>
      <c r="AE232" s="69"/>
      <c r="AF232" t="str">
        <f>IF(AD232="Monthly",Table3[[#This Row],[Assessed Term]]*12,IF(AD232="quarterly",Table3[[#This Row],[Assessed Term]]*4,IF(AD232="annually",Table3[[#This Row],[Assessed Term]]*1,IF(AD232="weekly",Table3[[#This Row],[Assessed Term]]*52,IF(AD232="semiannually",Table3[[#This Row],[Assessed Term]]*2," ")))))</f>
        <v xml:space="preserve"> </v>
      </c>
      <c r="AG232" s="69"/>
      <c r="AH232" s="69"/>
      <c r="AI232" s="73"/>
      <c r="AJ232" s="73"/>
      <c r="AK232" s="73"/>
      <c r="AL232" s="69"/>
      <c r="AM232" s="69"/>
      <c r="AN232" s="120"/>
      <c r="AO232" s="76" t="b">
        <f>IF(K232 = "Lease",+PV(AN232/(AF232/Table3[[#This Row],[Assessed Term]]),AF232,-AI232,0,IF(AE232="Beginning",1,0)))</f>
        <v>0</v>
      </c>
      <c r="AP232" s="69"/>
      <c r="AQ232" s="76">
        <f t="shared" si="29"/>
        <v>0</v>
      </c>
      <c r="AR232" s="72"/>
    </row>
    <row r="233" spans="1:44">
      <c r="A233" s="69"/>
      <c r="B233" s="70"/>
      <c r="C233" s="69"/>
      <c r="D233" s="69"/>
      <c r="E233" s="69"/>
      <c r="F233" s="69"/>
      <c r="G233" s="69"/>
      <c r="H233" s="69"/>
      <c r="I233" s="69"/>
      <c r="J233" s="69"/>
      <c r="K233" t="str">
        <f t="shared" si="23"/>
        <v>Not a Lease</v>
      </c>
      <c r="L233" s="69"/>
      <c r="M233" s="69"/>
      <c r="N233" s="69"/>
      <c r="O233" s="69"/>
      <c r="P233" s="69"/>
      <c r="Q233" s="69"/>
      <c r="R233" s="69"/>
      <c r="S233" s="69"/>
      <c r="T233" s="69"/>
      <c r="U233" s="69"/>
      <c r="V233" s="69"/>
      <c r="W233" s="69"/>
      <c r="X233" s="69"/>
      <c r="Y233" s="69"/>
      <c r="Z233">
        <f t="shared" si="28"/>
        <v>0</v>
      </c>
      <c r="AA233">
        <f t="shared" si="24"/>
        <v>0</v>
      </c>
      <c r="AB233">
        <f t="shared" si="25"/>
        <v>0</v>
      </c>
      <c r="AC233">
        <f>+IF(Table3[[#This Row],[Do Both Parties have to agree for extension to occur?]]="Yes",0,IF(AND(W233="Yes",Q233="Yes"),IF(R233=X233,R233,MAX(R233,X233)),IF(AND(W233="Yes",OR(Q233="No",Q233="")),X233,IF(AND(OR(W233="No",W233=""),Q233="Yes"),R233,0))))</f>
        <v>0</v>
      </c>
      <c r="AD233" s="69"/>
      <c r="AE233" s="69"/>
      <c r="AF233" t="str">
        <f>IF(AD233="Monthly",Table3[[#This Row],[Assessed Term]]*12,IF(AD233="quarterly",Table3[[#This Row],[Assessed Term]]*4,IF(AD233="annually",Table3[[#This Row],[Assessed Term]]*1,IF(AD233="weekly",Table3[[#This Row],[Assessed Term]]*52,IF(AD233="semiannually",Table3[[#This Row],[Assessed Term]]*2," ")))))</f>
        <v xml:space="preserve"> </v>
      </c>
      <c r="AG233" s="69"/>
      <c r="AH233" s="69"/>
      <c r="AI233" s="73"/>
      <c r="AJ233" s="73"/>
      <c r="AK233" s="73"/>
      <c r="AL233" s="69"/>
      <c r="AM233" s="69"/>
      <c r="AN233" s="120"/>
      <c r="AO233" s="76" t="b">
        <f>IF(K233 = "Lease",+PV(AN233/(AF233/Table3[[#This Row],[Assessed Term]]),AF233,-AI233,0,IF(AE233="Beginning",1,0)))</f>
        <v>0</v>
      </c>
      <c r="AP233" s="69"/>
      <c r="AQ233" s="76">
        <f t="shared" si="29"/>
        <v>0</v>
      </c>
      <c r="AR233" s="72"/>
    </row>
    <row r="234" spans="1:44">
      <c r="A234" s="69"/>
      <c r="B234" s="70"/>
      <c r="C234" s="69"/>
      <c r="D234" s="69"/>
      <c r="E234" s="69"/>
      <c r="F234" s="69"/>
      <c r="G234" s="69"/>
      <c r="H234" s="69"/>
      <c r="I234" s="69"/>
      <c r="J234" s="69"/>
      <c r="K234" t="str">
        <f t="shared" si="23"/>
        <v>Not a Lease</v>
      </c>
      <c r="L234" s="69"/>
      <c r="M234" s="69"/>
      <c r="N234" s="69"/>
      <c r="O234" s="69"/>
      <c r="P234" s="69"/>
      <c r="Q234" s="69"/>
      <c r="R234" s="69"/>
      <c r="S234" s="69"/>
      <c r="T234" s="69"/>
      <c r="U234" s="69"/>
      <c r="V234" s="69"/>
      <c r="W234" s="69"/>
      <c r="X234" s="69"/>
      <c r="Y234" s="69"/>
      <c r="Z234">
        <f t="shared" si="28"/>
        <v>0</v>
      </c>
      <c r="AA234">
        <f t="shared" si="24"/>
        <v>0</v>
      </c>
      <c r="AB234">
        <f t="shared" si="25"/>
        <v>0</v>
      </c>
      <c r="AC234">
        <f>+IF(Table3[[#This Row],[Do Both Parties have to agree for extension to occur?]]="Yes",0,IF(AND(W234="Yes",Q234="Yes"),IF(R234=X234,R234,MAX(R234,X234)),IF(AND(W234="Yes",OR(Q234="No",Q234="")),X234,IF(AND(OR(W234="No",W234=""),Q234="Yes"),R234,0))))</f>
        <v>0</v>
      </c>
      <c r="AD234" s="69"/>
      <c r="AE234" s="69"/>
      <c r="AF234" t="str">
        <f>IF(AD234="Monthly",Table3[[#This Row],[Assessed Term]]*12,IF(AD234="quarterly",Table3[[#This Row],[Assessed Term]]*4,IF(AD234="annually",Table3[[#This Row],[Assessed Term]]*1,IF(AD234="weekly",Table3[[#This Row],[Assessed Term]]*52,IF(AD234="semiannually",Table3[[#This Row],[Assessed Term]]*2," ")))))</f>
        <v xml:space="preserve"> </v>
      </c>
      <c r="AG234" s="69"/>
      <c r="AH234" s="69"/>
      <c r="AI234" s="73"/>
      <c r="AJ234" s="73"/>
      <c r="AK234" s="73"/>
      <c r="AL234" s="69"/>
      <c r="AM234" s="69"/>
      <c r="AN234" s="120"/>
      <c r="AO234" s="76" t="b">
        <f>IF(K234 = "Lease",+PV(AN234/(AF234/Table3[[#This Row],[Assessed Term]]),AF234,-AI234,0,IF(AE234="Beginning",1,0)))</f>
        <v>0</v>
      </c>
      <c r="AP234" s="69"/>
      <c r="AQ234" s="76">
        <f t="shared" si="29"/>
        <v>0</v>
      </c>
      <c r="AR234" s="72"/>
    </row>
    <row r="235" spans="1:44">
      <c r="A235" s="69"/>
      <c r="B235" s="70"/>
      <c r="C235" s="69"/>
      <c r="D235" s="69"/>
      <c r="E235" s="69"/>
      <c r="F235" s="69"/>
      <c r="G235" s="69"/>
      <c r="H235" s="69"/>
      <c r="I235" s="69"/>
      <c r="J235" s="69"/>
      <c r="K235" t="str">
        <f t="shared" si="23"/>
        <v>Not a Lease</v>
      </c>
      <c r="L235" s="69"/>
      <c r="M235" s="69"/>
      <c r="N235" s="69"/>
      <c r="O235" s="69"/>
      <c r="P235" s="69"/>
      <c r="Q235" s="69"/>
      <c r="R235" s="69"/>
      <c r="S235" s="69"/>
      <c r="T235" s="69"/>
      <c r="U235" s="69"/>
      <c r="V235" s="69"/>
      <c r="W235" s="69"/>
      <c r="X235" s="69"/>
      <c r="Y235" s="69"/>
      <c r="Z235">
        <f t="shared" si="28"/>
        <v>0</v>
      </c>
      <c r="AA235">
        <f t="shared" si="24"/>
        <v>0</v>
      </c>
      <c r="AB235">
        <f t="shared" si="25"/>
        <v>0</v>
      </c>
      <c r="AC235">
        <f>+IF(Table3[[#This Row],[Do Both Parties have to agree for extension to occur?]]="Yes",0,IF(AND(W235="Yes",Q235="Yes"),IF(R235=X235,R235,MAX(R235,X235)),IF(AND(W235="Yes",OR(Q235="No",Q235="")),X235,IF(AND(OR(W235="No",W235=""),Q235="Yes"),R235,0))))</f>
        <v>0</v>
      </c>
      <c r="AD235" s="69"/>
      <c r="AE235" s="69"/>
      <c r="AF235" t="str">
        <f>IF(AD235="Monthly",Table3[[#This Row],[Assessed Term]]*12,IF(AD235="quarterly",Table3[[#This Row],[Assessed Term]]*4,IF(AD235="annually",Table3[[#This Row],[Assessed Term]]*1,IF(AD235="weekly",Table3[[#This Row],[Assessed Term]]*52,IF(AD235="semiannually",Table3[[#This Row],[Assessed Term]]*2," ")))))</f>
        <v xml:space="preserve"> </v>
      </c>
      <c r="AG235" s="69"/>
      <c r="AH235" s="69"/>
      <c r="AI235" s="73"/>
      <c r="AJ235" s="73"/>
      <c r="AK235" s="73"/>
      <c r="AL235" s="69"/>
      <c r="AM235" s="69"/>
      <c r="AN235" s="120"/>
      <c r="AO235" s="76" t="b">
        <f>IF(K235 = "Lease",+PV(AN235/(AF235/Table3[[#This Row],[Assessed Term]]),AF235,-AI235,0,IF(AE235="Beginning",1,0)))</f>
        <v>0</v>
      </c>
      <c r="AP235" s="69"/>
      <c r="AQ235" s="76">
        <f t="shared" si="29"/>
        <v>0</v>
      </c>
      <c r="AR235" s="72"/>
    </row>
    <row r="236" spans="1:44">
      <c r="A236" s="69"/>
      <c r="B236" s="70"/>
      <c r="C236" s="69"/>
      <c r="D236" s="69"/>
      <c r="E236" s="69"/>
      <c r="F236" s="69"/>
      <c r="G236" s="69"/>
      <c r="H236" s="69"/>
      <c r="I236" s="69"/>
      <c r="J236" s="69"/>
      <c r="K236" t="str">
        <f t="shared" si="23"/>
        <v>Not a Lease</v>
      </c>
      <c r="L236" s="69"/>
      <c r="M236" s="69"/>
      <c r="N236" s="69"/>
      <c r="O236" s="69"/>
      <c r="P236" s="69"/>
      <c r="Q236" s="69"/>
      <c r="R236" s="69"/>
      <c r="S236" s="69"/>
      <c r="T236" s="69"/>
      <c r="U236" s="69"/>
      <c r="V236" s="69"/>
      <c r="W236" s="69"/>
      <c r="X236" s="69"/>
      <c r="Y236" s="69"/>
      <c r="Z236">
        <f t="shared" si="28"/>
        <v>0</v>
      </c>
      <c r="AA236">
        <f t="shared" si="24"/>
        <v>0</v>
      </c>
      <c r="AB236">
        <f t="shared" si="25"/>
        <v>0</v>
      </c>
      <c r="AC236">
        <f>+IF(Table3[[#This Row],[Do Both Parties have to agree for extension to occur?]]="Yes",0,IF(AND(W236="Yes",Q236="Yes"),IF(R236=X236,R236,MAX(R236,X236)),IF(AND(W236="Yes",OR(Q236="No",Q236="")),X236,IF(AND(OR(W236="No",W236=""),Q236="Yes"),R236,0))))</f>
        <v>0</v>
      </c>
      <c r="AD236" s="69"/>
      <c r="AE236" s="69"/>
      <c r="AF236" t="str">
        <f>IF(AD236="Monthly",Table3[[#This Row],[Assessed Term]]*12,IF(AD236="quarterly",Table3[[#This Row],[Assessed Term]]*4,IF(AD236="annually",Table3[[#This Row],[Assessed Term]]*1,IF(AD236="weekly",Table3[[#This Row],[Assessed Term]]*52,IF(AD236="semiannually",Table3[[#This Row],[Assessed Term]]*2," ")))))</f>
        <v xml:space="preserve"> </v>
      </c>
      <c r="AG236" s="69"/>
      <c r="AH236" s="69"/>
      <c r="AI236" s="73"/>
      <c r="AJ236" s="73"/>
      <c r="AK236" s="73"/>
      <c r="AL236" s="69"/>
      <c r="AM236" s="69"/>
      <c r="AN236" s="120"/>
      <c r="AO236" s="76" t="b">
        <f>IF(K236 = "Lease",+PV(AN236/(AF236/Table3[[#This Row],[Assessed Term]]),AF236,-AI236,0,IF(AE236="Beginning",1,0)))</f>
        <v>0</v>
      </c>
      <c r="AP236" s="69"/>
      <c r="AQ236" s="76">
        <f t="shared" si="29"/>
        <v>0</v>
      </c>
      <c r="AR236" s="72"/>
    </row>
    <row r="237" spans="1:44">
      <c r="A237" s="69"/>
      <c r="B237" s="70"/>
      <c r="C237" s="69"/>
      <c r="D237" s="69"/>
      <c r="E237" s="69"/>
      <c r="F237" s="69"/>
      <c r="G237" s="69"/>
      <c r="H237" s="69"/>
      <c r="I237" s="69"/>
      <c r="J237" s="69"/>
      <c r="K237" t="str">
        <f t="shared" si="23"/>
        <v>Not a Lease</v>
      </c>
      <c r="L237" s="69"/>
      <c r="M237" s="69"/>
      <c r="N237" s="69"/>
      <c r="O237" s="69"/>
      <c r="P237" s="69"/>
      <c r="Q237" s="69"/>
      <c r="R237" s="69"/>
      <c r="S237" s="69"/>
      <c r="T237" s="69"/>
      <c r="U237" s="69"/>
      <c r="V237" s="69"/>
      <c r="W237" s="69"/>
      <c r="X237" s="69"/>
      <c r="Y237" s="69"/>
      <c r="Z237">
        <f t="shared" si="28"/>
        <v>0</v>
      </c>
      <c r="AA237">
        <f t="shared" si="24"/>
        <v>0</v>
      </c>
      <c r="AB237">
        <f t="shared" si="25"/>
        <v>0</v>
      </c>
      <c r="AC237">
        <f>+IF(Table3[[#This Row],[Do Both Parties have to agree for extension to occur?]]="Yes",0,IF(AND(W237="Yes",Q237="Yes"),IF(R237=X237,R237,MAX(R237,X237)),IF(AND(W237="Yes",OR(Q237="No",Q237="")),X237,IF(AND(OR(W237="No",W237=""),Q237="Yes"),R237,0))))</f>
        <v>0</v>
      </c>
      <c r="AD237" s="69"/>
      <c r="AE237" s="69"/>
      <c r="AF237" t="str">
        <f>IF(AD237="Monthly",Table3[[#This Row],[Assessed Term]]*12,IF(AD237="quarterly",Table3[[#This Row],[Assessed Term]]*4,IF(AD237="annually",Table3[[#This Row],[Assessed Term]]*1,IF(AD237="weekly",Table3[[#This Row],[Assessed Term]]*52,IF(AD237="semiannually",Table3[[#This Row],[Assessed Term]]*2," ")))))</f>
        <v xml:space="preserve"> </v>
      </c>
      <c r="AG237" s="69"/>
      <c r="AH237" s="69"/>
      <c r="AI237" s="73"/>
      <c r="AJ237" s="73"/>
      <c r="AK237" s="73"/>
      <c r="AL237" s="69"/>
      <c r="AM237" s="69"/>
      <c r="AN237" s="120"/>
      <c r="AO237" s="76" t="b">
        <f>IF(K237 = "Lease",+PV(AN237/(AF237/Table3[[#This Row],[Assessed Term]]),AF237,-AI237,0,IF(AE237="Beginning",1,0)))</f>
        <v>0</v>
      </c>
      <c r="AP237" s="69"/>
      <c r="AQ237" s="76">
        <f t="shared" si="29"/>
        <v>0</v>
      </c>
      <c r="AR237" s="72"/>
    </row>
    <row r="238" spans="1:44">
      <c r="A238" s="69"/>
      <c r="B238" s="70"/>
      <c r="C238" s="69"/>
      <c r="D238" s="69"/>
      <c r="E238" s="69"/>
      <c r="F238" s="69"/>
      <c r="G238" s="69"/>
      <c r="H238" s="69"/>
      <c r="I238" s="69"/>
      <c r="J238" s="69"/>
      <c r="K238" t="str">
        <f t="shared" si="23"/>
        <v>Not a Lease</v>
      </c>
      <c r="L238" s="69"/>
      <c r="M238" s="69"/>
      <c r="N238" s="69"/>
      <c r="O238" s="69"/>
      <c r="P238" s="69"/>
      <c r="Q238" s="69"/>
      <c r="R238" s="69"/>
      <c r="S238" s="69"/>
      <c r="T238" s="69"/>
      <c r="U238" s="69"/>
      <c r="V238" s="69"/>
      <c r="W238" s="69"/>
      <c r="X238" s="69"/>
      <c r="Y238" s="69"/>
      <c r="Z238">
        <f t="shared" si="28"/>
        <v>0</v>
      </c>
      <c r="AA238">
        <f t="shared" si="24"/>
        <v>0</v>
      </c>
      <c r="AB238">
        <f t="shared" si="25"/>
        <v>0</v>
      </c>
      <c r="AC238">
        <f>+IF(Table3[[#This Row],[Do Both Parties have to agree for extension to occur?]]="Yes",0,IF(AND(W238="Yes",Q238="Yes"),IF(R238=X238,R238,MAX(R238,X238)),IF(AND(W238="Yes",OR(Q238="No",Q238="")),X238,IF(AND(OR(W238="No",W238=""),Q238="Yes"),R238,0))))</f>
        <v>0</v>
      </c>
      <c r="AD238" s="69"/>
      <c r="AE238" s="69"/>
      <c r="AF238" t="str">
        <f>IF(AD238="Monthly",Table3[[#This Row],[Assessed Term]]*12,IF(AD238="quarterly",Table3[[#This Row],[Assessed Term]]*4,IF(AD238="annually",Table3[[#This Row],[Assessed Term]]*1,IF(AD238="weekly",Table3[[#This Row],[Assessed Term]]*52,IF(AD238="semiannually",Table3[[#This Row],[Assessed Term]]*2," ")))))</f>
        <v xml:space="preserve"> </v>
      </c>
      <c r="AG238" s="69"/>
      <c r="AH238" s="69"/>
      <c r="AI238" s="73"/>
      <c r="AJ238" s="73"/>
      <c r="AK238" s="73"/>
      <c r="AL238" s="69"/>
      <c r="AM238" s="69"/>
      <c r="AN238" s="120"/>
      <c r="AO238" s="76" t="b">
        <f>IF(K238 = "Lease",+PV(AN238/(AF238/Table3[[#This Row],[Assessed Term]]),AF238,-AI238,0,IF(AE238="Beginning",1,0)))</f>
        <v>0</v>
      </c>
      <c r="AP238" s="69"/>
      <c r="AQ238" s="76">
        <f t="shared" si="29"/>
        <v>0</v>
      </c>
      <c r="AR238" s="72"/>
    </row>
    <row r="239" spans="1:44">
      <c r="A239" s="69"/>
      <c r="B239" s="70"/>
      <c r="C239" s="69"/>
      <c r="D239" s="69"/>
      <c r="E239" s="69"/>
      <c r="F239" s="69"/>
      <c r="G239" s="69"/>
      <c r="H239" s="69"/>
      <c r="I239" s="69"/>
      <c r="J239" s="69"/>
      <c r="K239" t="str">
        <f t="shared" si="23"/>
        <v>Not a Lease</v>
      </c>
      <c r="L239" s="69"/>
      <c r="M239" s="69"/>
      <c r="N239" s="69"/>
      <c r="O239" s="69"/>
      <c r="P239" s="69"/>
      <c r="Q239" s="69"/>
      <c r="R239" s="69"/>
      <c r="S239" s="69"/>
      <c r="T239" s="69"/>
      <c r="U239" s="69"/>
      <c r="V239" s="69"/>
      <c r="W239" s="69"/>
      <c r="X239" s="69"/>
      <c r="Y239" s="69"/>
      <c r="Z239">
        <f t="shared" si="28"/>
        <v>0</v>
      </c>
      <c r="AA239">
        <f t="shared" si="24"/>
        <v>0</v>
      </c>
      <c r="AB239">
        <f t="shared" si="25"/>
        <v>0</v>
      </c>
      <c r="AC239">
        <f>+IF(Table3[[#This Row],[Do Both Parties have to agree for extension to occur?]]="Yes",0,IF(AND(W239="Yes",Q239="Yes"),IF(R239=X239,R239,MAX(R239,X239)),IF(AND(W239="Yes",OR(Q239="No",Q239="")),X239,IF(AND(OR(W239="No",W239=""),Q239="Yes"),R239,0))))</f>
        <v>0</v>
      </c>
      <c r="AD239" s="69"/>
      <c r="AE239" s="69"/>
      <c r="AF239" t="str">
        <f>IF(AD239="Monthly",Table3[[#This Row],[Assessed Term]]*12,IF(AD239="quarterly",Table3[[#This Row],[Assessed Term]]*4,IF(AD239="annually",Table3[[#This Row],[Assessed Term]]*1,IF(AD239="weekly",Table3[[#This Row],[Assessed Term]]*52,IF(AD239="semiannually",Table3[[#This Row],[Assessed Term]]*2," ")))))</f>
        <v xml:space="preserve"> </v>
      </c>
      <c r="AG239" s="69"/>
      <c r="AH239" s="69"/>
      <c r="AI239" s="73"/>
      <c r="AJ239" s="73"/>
      <c r="AK239" s="73"/>
      <c r="AL239" s="69"/>
      <c r="AM239" s="69"/>
      <c r="AN239" s="120"/>
      <c r="AO239" s="76" t="b">
        <f>IF(K239 = "Lease",+PV(AN239/(AF239/Table3[[#This Row],[Assessed Term]]),AF239,-AI239,0,IF(AE239="Beginning",1,0)))</f>
        <v>0</v>
      </c>
      <c r="AP239" s="69"/>
      <c r="AQ239" s="76">
        <f t="shared" si="29"/>
        <v>0</v>
      </c>
      <c r="AR239" s="72"/>
    </row>
    <row r="240" spans="1:44">
      <c r="A240" s="69"/>
      <c r="B240" s="70"/>
      <c r="C240" s="69"/>
      <c r="D240" s="69"/>
      <c r="E240" s="69"/>
      <c r="F240" s="69"/>
      <c r="G240" s="69"/>
      <c r="H240" s="69"/>
      <c r="I240" s="69"/>
      <c r="J240" s="69"/>
      <c r="K240" t="str">
        <f t="shared" si="23"/>
        <v>Not a Lease</v>
      </c>
      <c r="L240" s="69"/>
      <c r="M240" s="69"/>
      <c r="N240" s="69"/>
      <c r="O240" s="69"/>
      <c r="P240" s="69"/>
      <c r="Q240" s="69"/>
      <c r="R240" s="69"/>
      <c r="S240" s="69"/>
      <c r="T240" s="69"/>
      <c r="U240" s="69"/>
      <c r="V240" s="69"/>
      <c r="W240" s="69"/>
      <c r="X240" s="69"/>
      <c r="Y240" s="69"/>
      <c r="Z240">
        <f t="shared" si="28"/>
        <v>0</v>
      </c>
      <c r="AA240">
        <f t="shared" si="24"/>
        <v>0</v>
      </c>
      <c r="AB240">
        <f t="shared" si="25"/>
        <v>0</v>
      </c>
      <c r="AC240">
        <f>+IF(Table3[[#This Row],[Do Both Parties have to agree for extension to occur?]]="Yes",0,IF(AND(W240="Yes",Q240="Yes"),IF(R240=X240,R240,MAX(R240,X240)),IF(AND(W240="Yes",OR(Q240="No",Q240="")),X240,IF(AND(OR(W240="No",W240=""),Q240="Yes"),R240,0))))</f>
        <v>0</v>
      </c>
      <c r="AD240" s="69"/>
      <c r="AE240" s="69"/>
      <c r="AF240" t="str">
        <f>IF(AD240="Monthly",Table3[[#This Row],[Assessed Term]]*12,IF(AD240="quarterly",Table3[[#This Row],[Assessed Term]]*4,IF(AD240="annually",Table3[[#This Row],[Assessed Term]]*1,IF(AD240="weekly",Table3[[#This Row],[Assessed Term]]*52,IF(AD240="semiannually",Table3[[#This Row],[Assessed Term]]*2," ")))))</f>
        <v xml:space="preserve"> </v>
      </c>
      <c r="AG240" s="69"/>
      <c r="AH240" s="69"/>
      <c r="AI240" s="73"/>
      <c r="AJ240" s="73"/>
      <c r="AK240" s="73"/>
      <c r="AL240" s="69"/>
      <c r="AM240" s="69"/>
      <c r="AN240" s="120"/>
      <c r="AO240" s="76" t="b">
        <f>IF(K240 = "Lease",+PV(AN240/(AF240/Table3[[#This Row],[Assessed Term]]),AF240,-AI240,0,IF(AE240="Beginning",1,0)))</f>
        <v>0</v>
      </c>
      <c r="AP240" s="69"/>
      <c r="AQ240" s="76">
        <f t="shared" si="29"/>
        <v>0</v>
      </c>
      <c r="AR240" s="72"/>
    </row>
    <row r="241" spans="1:44">
      <c r="A241" s="69"/>
      <c r="B241" s="70"/>
      <c r="C241" s="69"/>
      <c r="D241" s="69"/>
      <c r="E241" s="69"/>
      <c r="F241" s="69"/>
      <c r="G241" s="69"/>
      <c r="H241" s="69"/>
      <c r="I241" s="69"/>
      <c r="J241" s="69"/>
      <c r="K241" t="str">
        <f t="shared" si="23"/>
        <v>Not a Lease</v>
      </c>
      <c r="L241" s="69"/>
      <c r="M241" s="69"/>
      <c r="N241" s="69"/>
      <c r="O241" s="69"/>
      <c r="P241" s="69"/>
      <c r="Q241" s="69"/>
      <c r="R241" s="69"/>
      <c r="S241" s="69"/>
      <c r="T241" s="69"/>
      <c r="U241" s="69"/>
      <c r="V241" s="69"/>
      <c r="W241" s="69"/>
      <c r="X241" s="69"/>
      <c r="Y241" s="69"/>
      <c r="Z241">
        <f t="shared" si="28"/>
        <v>0</v>
      </c>
      <c r="AA241">
        <f t="shared" si="24"/>
        <v>0</v>
      </c>
      <c r="AB241">
        <f t="shared" si="25"/>
        <v>0</v>
      </c>
      <c r="AC241">
        <f>+IF(Table3[[#This Row],[Do Both Parties have to agree for extension to occur?]]="Yes",0,IF(AND(W241="Yes",Q241="Yes"),IF(R241=X241,R241,MAX(R241,X241)),IF(AND(W241="Yes",OR(Q241="No",Q241="")),X241,IF(AND(OR(W241="No",W241=""),Q241="Yes"),R241,0))))</f>
        <v>0</v>
      </c>
      <c r="AD241" s="69"/>
      <c r="AE241" s="69"/>
      <c r="AF241" t="str">
        <f>IF(AD241="Monthly",Table3[[#This Row],[Assessed Term]]*12,IF(AD241="quarterly",Table3[[#This Row],[Assessed Term]]*4,IF(AD241="annually",Table3[[#This Row],[Assessed Term]]*1,IF(AD241="weekly",Table3[[#This Row],[Assessed Term]]*52,IF(AD241="semiannually",Table3[[#This Row],[Assessed Term]]*2," ")))))</f>
        <v xml:space="preserve"> </v>
      </c>
      <c r="AG241" s="69"/>
      <c r="AH241" s="69"/>
      <c r="AI241" s="73"/>
      <c r="AJ241" s="73"/>
      <c r="AK241" s="73"/>
      <c r="AL241" s="69"/>
      <c r="AM241" s="69"/>
      <c r="AN241" s="120"/>
      <c r="AO241" s="76" t="b">
        <f>IF(K241 = "Lease",+PV(AN241/(AF241/Table3[[#This Row],[Assessed Term]]),AF241,-AI241,0,IF(AE241="Beginning",1,0)))</f>
        <v>0</v>
      </c>
      <c r="AP241" s="69"/>
      <c r="AQ241" s="76">
        <f t="shared" si="29"/>
        <v>0</v>
      </c>
      <c r="AR241" s="72"/>
    </row>
    <row r="242" spans="1:44">
      <c r="A242" s="69"/>
      <c r="B242" s="70"/>
      <c r="C242" s="69"/>
      <c r="D242" s="69"/>
      <c r="E242" s="69"/>
      <c r="F242" s="69"/>
      <c r="G242" s="69"/>
      <c r="H242" s="69"/>
      <c r="I242" s="69"/>
      <c r="J242" s="69"/>
      <c r="K242" t="str">
        <f t="shared" si="23"/>
        <v>Not a Lease</v>
      </c>
      <c r="L242" s="69"/>
      <c r="M242" s="69"/>
      <c r="N242" s="69"/>
      <c r="O242" s="69"/>
      <c r="P242" s="69"/>
      <c r="Q242" s="69"/>
      <c r="R242" s="69"/>
      <c r="S242" s="69"/>
      <c r="T242" s="69"/>
      <c r="U242" s="69"/>
      <c r="V242" s="69"/>
      <c r="W242" s="69"/>
      <c r="X242" s="69"/>
      <c r="Y242" s="69"/>
      <c r="Z242">
        <f t="shared" si="28"/>
        <v>0</v>
      </c>
      <c r="AA242">
        <f t="shared" si="24"/>
        <v>0</v>
      </c>
      <c r="AB242">
        <f t="shared" si="25"/>
        <v>0</v>
      </c>
      <c r="AC242">
        <f>+IF(Table3[[#This Row],[Do Both Parties have to agree for extension to occur?]]="Yes",0,IF(AND(W242="Yes",Q242="Yes"),IF(R242=X242,R242,MAX(R242,X242)),IF(AND(W242="Yes",OR(Q242="No",Q242="")),X242,IF(AND(OR(W242="No",W242=""),Q242="Yes"),R242,0))))</f>
        <v>0</v>
      </c>
      <c r="AD242" s="69"/>
      <c r="AE242" s="69"/>
      <c r="AF242" t="str">
        <f>IF(AD242="Monthly",Table3[[#This Row],[Assessed Term]]*12,IF(AD242="quarterly",Table3[[#This Row],[Assessed Term]]*4,IF(AD242="annually",Table3[[#This Row],[Assessed Term]]*1,IF(AD242="weekly",Table3[[#This Row],[Assessed Term]]*52,IF(AD242="semiannually",Table3[[#This Row],[Assessed Term]]*2," ")))))</f>
        <v xml:space="preserve"> </v>
      </c>
      <c r="AG242" s="69"/>
      <c r="AH242" s="69"/>
      <c r="AI242" s="73"/>
      <c r="AJ242" s="73"/>
      <c r="AK242" s="73"/>
      <c r="AL242" s="69"/>
      <c r="AM242" s="69"/>
      <c r="AN242" s="120"/>
      <c r="AO242" s="76" t="b">
        <f>IF(K242 = "Lease",+PV(AN242/(AF242/Table3[[#This Row],[Assessed Term]]),AF242,-AI242,0,IF(AE242="Beginning",1,0)))</f>
        <v>0</v>
      </c>
      <c r="AP242" s="69"/>
      <c r="AQ242" s="76">
        <f t="shared" si="29"/>
        <v>0</v>
      </c>
      <c r="AR242" s="72"/>
    </row>
    <row r="243" spans="1:44">
      <c r="A243" s="69"/>
      <c r="B243" s="70"/>
      <c r="C243" s="69"/>
      <c r="D243" s="69"/>
      <c r="E243" s="69"/>
      <c r="F243" s="69"/>
      <c r="G243" s="69"/>
      <c r="H243" s="69"/>
      <c r="I243" s="69"/>
      <c r="J243" s="69"/>
      <c r="K243" t="str">
        <f t="shared" si="23"/>
        <v>Not a Lease</v>
      </c>
      <c r="L243" s="69"/>
      <c r="M243" s="69"/>
      <c r="N243" s="69"/>
      <c r="O243" s="69"/>
      <c r="P243" s="69"/>
      <c r="Q243" s="69"/>
      <c r="R243" s="69"/>
      <c r="S243" s="69"/>
      <c r="T243" s="69"/>
      <c r="U243" s="69"/>
      <c r="V243" s="69"/>
      <c r="W243" s="69"/>
      <c r="X243" s="69"/>
      <c r="Y243" s="69"/>
      <c r="Z243">
        <f t="shared" si="28"/>
        <v>0</v>
      </c>
      <c r="AA243">
        <f t="shared" si="24"/>
        <v>0</v>
      </c>
      <c r="AB243">
        <f t="shared" si="25"/>
        <v>0</v>
      </c>
      <c r="AC243">
        <f>+IF(Table3[[#This Row],[Do Both Parties have to agree for extension to occur?]]="Yes",0,IF(AND(W243="Yes",Q243="Yes"),IF(R243=X243,R243,MAX(R243,X243)),IF(AND(W243="Yes",OR(Q243="No",Q243="")),X243,IF(AND(OR(W243="No",W243=""),Q243="Yes"),R243,0))))</f>
        <v>0</v>
      </c>
      <c r="AD243" s="69"/>
      <c r="AE243" s="69"/>
      <c r="AF243" t="str">
        <f>IF(AD243="Monthly",Table3[[#This Row],[Assessed Term]]*12,IF(AD243="quarterly",Table3[[#This Row],[Assessed Term]]*4,IF(AD243="annually",Table3[[#This Row],[Assessed Term]]*1,IF(AD243="weekly",Table3[[#This Row],[Assessed Term]]*52,IF(AD243="semiannually",Table3[[#This Row],[Assessed Term]]*2," ")))))</f>
        <v xml:space="preserve"> </v>
      </c>
      <c r="AG243" s="69"/>
      <c r="AH243" s="69"/>
      <c r="AI243" s="73"/>
      <c r="AJ243" s="73"/>
      <c r="AK243" s="73"/>
      <c r="AL243" s="69"/>
      <c r="AM243" s="69"/>
      <c r="AN243" s="120"/>
      <c r="AO243" s="76" t="b">
        <f>IF(K243 = "Lease",+PV(AN243/(AF243/Table3[[#This Row],[Assessed Term]]),AF243,-AI243,0,IF(AE243="Beginning",1,0)))</f>
        <v>0</v>
      </c>
      <c r="AP243" s="69"/>
      <c r="AQ243" s="76">
        <f t="shared" si="29"/>
        <v>0</v>
      </c>
      <c r="AR243" s="72"/>
    </row>
    <row r="244" spans="1:44">
      <c r="A244" s="69"/>
      <c r="B244" s="70"/>
      <c r="C244" s="69"/>
      <c r="D244" s="69"/>
      <c r="E244" s="69"/>
      <c r="F244" s="69"/>
      <c r="G244" s="69"/>
      <c r="H244" s="69"/>
      <c r="I244" s="69"/>
      <c r="J244" s="69"/>
      <c r="K244" t="str">
        <f t="shared" si="23"/>
        <v>Not a Lease</v>
      </c>
      <c r="L244" s="69"/>
      <c r="M244" s="69"/>
      <c r="N244" s="69"/>
      <c r="O244" s="69"/>
      <c r="P244" s="69"/>
      <c r="Q244" s="69"/>
      <c r="R244" s="69"/>
      <c r="S244" s="69"/>
      <c r="T244" s="69"/>
      <c r="U244" s="69"/>
      <c r="V244" s="69"/>
      <c r="W244" s="69"/>
      <c r="X244" s="69"/>
      <c r="Y244" s="69"/>
      <c r="Z244">
        <f t="shared" si="28"/>
        <v>0</v>
      </c>
      <c r="AA244">
        <f t="shared" si="24"/>
        <v>0</v>
      </c>
      <c r="AB244">
        <f t="shared" si="25"/>
        <v>0</v>
      </c>
      <c r="AC244">
        <f>+IF(Table3[[#This Row],[Do Both Parties have to agree for extension to occur?]]="Yes",0,IF(AND(W244="Yes",Q244="Yes"),IF(R244=X244,R244,MAX(R244,X244)),IF(AND(W244="Yes",OR(Q244="No",Q244="")),X244,IF(AND(OR(W244="No",W244=""),Q244="Yes"),R244,0))))</f>
        <v>0</v>
      </c>
      <c r="AD244" s="69"/>
      <c r="AE244" s="69"/>
      <c r="AF244" t="str">
        <f>IF(AD244="Monthly",Table3[[#This Row],[Assessed Term]]*12,IF(AD244="quarterly",Table3[[#This Row],[Assessed Term]]*4,IF(AD244="annually",Table3[[#This Row],[Assessed Term]]*1,IF(AD244="weekly",Table3[[#This Row],[Assessed Term]]*52,IF(AD244="semiannually",Table3[[#This Row],[Assessed Term]]*2," ")))))</f>
        <v xml:space="preserve"> </v>
      </c>
      <c r="AG244" s="69"/>
      <c r="AH244" s="69"/>
      <c r="AI244" s="73"/>
      <c r="AJ244" s="73"/>
      <c r="AK244" s="73"/>
      <c r="AL244" s="69"/>
      <c r="AM244" s="69"/>
      <c r="AN244" s="120"/>
      <c r="AO244" s="76" t="b">
        <f>IF(K244 = "Lease",+PV(AN244/(AF244/Table3[[#This Row],[Assessed Term]]),AF244,-AI244,0,IF(AE244="Beginning",1,0)))</f>
        <v>0</v>
      </c>
      <c r="AP244" s="69"/>
      <c r="AQ244" s="76">
        <f t="shared" si="29"/>
        <v>0</v>
      </c>
      <c r="AR244" s="72"/>
    </row>
    <row r="245" spans="1:44">
      <c r="A245" s="69"/>
      <c r="B245" s="70"/>
      <c r="C245" s="69"/>
      <c r="D245" s="69"/>
      <c r="E245" s="69"/>
      <c r="F245" s="69"/>
      <c r="G245" s="69"/>
      <c r="H245" s="69"/>
      <c r="I245" s="69"/>
      <c r="J245" s="69"/>
      <c r="K245" t="str">
        <f t="shared" si="23"/>
        <v>Not a Lease</v>
      </c>
      <c r="L245" s="69"/>
      <c r="M245" s="69"/>
      <c r="N245" s="69"/>
      <c r="O245" s="69"/>
      <c r="P245" s="69"/>
      <c r="Q245" s="69"/>
      <c r="R245" s="69"/>
      <c r="S245" s="69"/>
      <c r="T245" s="69"/>
      <c r="U245" s="69"/>
      <c r="V245" s="69"/>
      <c r="W245" s="69"/>
      <c r="X245" s="69"/>
      <c r="Y245" s="69"/>
      <c r="Z245">
        <f t="shared" si="28"/>
        <v>0</v>
      </c>
      <c r="AA245">
        <f t="shared" si="24"/>
        <v>0</v>
      </c>
      <c r="AB245">
        <f t="shared" si="25"/>
        <v>0</v>
      </c>
      <c r="AC245">
        <f>+IF(Table3[[#This Row],[Do Both Parties have to agree for extension to occur?]]="Yes",0,IF(AND(W245="Yes",Q245="Yes"),IF(R245=X245,R245,MAX(R245,X245)),IF(AND(W245="Yes",OR(Q245="No",Q245="")),X245,IF(AND(OR(W245="No",W245=""),Q245="Yes"),R245,0))))</f>
        <v>0</v>
      </c>
      <c r="AD245" s="69"/>
      <c r="AE245" s="69"/>
      <c r="AF245" t="str">
        <f>IF(AD245="Monthly",Table3[[#This Row],[Assessed Term]]*12,IF(AD245="quarterly",Table3[[#This Row],[Assessed Term]]*4,IF(AD245="annually",Table3[[#This Row],[Assessed Term]]*1,IF(AD245="weekly",Table3[[#This Row],[Assessed Term]]*52,IF(AD245="semiannually",Table3[[#This Row],[Assessed Term]]*2," ")))))</f>
        <v xml:space="preserve"> </v>
      </c>
      <c r="AG245" s="69"/>
      <c r="AH245" s="69"/>
      <c r="AI245" s="73"/>
      <c r="AJ245" s="73"/>
      <c r="AK245" s="73"/>
      <c r="AL245" s="69"/>
      <c r="AM245" s="69"/>
      <c r="AN245" s="120"/>
      <c r="AO245" s="76" t="b">
        <f>IF(K245 = "Lease",+PV(AN245/(AF245/Table3[[#This Row],[Assessed Term]]),AF245,-AI245,0,IF(AE245="Beginning",1,0)))</f>
        <v>0</v>
      </c>
      <c r="AP245" s="69"/>
      <c r="AQ245" s="76">
        <f t="shared" si="29"/>
        <v>0</v>
      </c>
      <c r="AR245" s="72"/>
    </row>
    <row r="246" spans="1:44">
      <c r="A246" s="69"/>
      <c r="B246" s="70"/>
      <c r="C246" s="69"/>
      <c r="D246" s="69"/>
      <c r="E246" s="69"/>
      <c r="F246" s="69"/>
      <c r="G246" s="69"/>
      <c r="H246" s="69"/>
      <c r="I246" s="69"/>
      <c r="J246" s="69"/>
      <c r="K246" t="str">
        <f t="shared" si="23"/>
        <v>Not a Lease</v>
      </c>
      <c r="L246" s="69"/>
      <c r="M246" s="69"/>
      <c r="N246" s="69"/>
      <c r="O246" s="69"/>
      <c r="P246" s="69"/>
      <c r="Q246" s="69"/>
      <c r="R246" s="69"/>
      <c r="S246" s="69"/>
      <c r="T246" s="69"/>
      <c r="U246" s="69"/>
      <c r="V246" s="69"/>
      <c r="W246" s="69"/>
      <c r="X246" s="69"/>
      <c r="Y246" s="69"/>
      <c r="Z246">
        <f t="shared" si="28"/>
        <v>0</v>
      </c>
      <c r="AA246">
        <f t="shared" si="24"/>
        <v>0</v>
      </c>
      <c r="AB246">
        <f t="shared" si="25"/>
        <v>0</v>
      </c>
      <c r="AC246">
        <f>+IF(Table3[[#This Row],[Do Both Parties have to agree for extension to occur?]]="Yes",0,IF(AND(W246="Yes",Q246="Yes"),IF(R246=X246,R246,MAX(R246,X246)),IF(AND(W246="Yes",OR(Q246="No",Q246="")),X246,IF(AND(OR(W246="No",W246=""),Q246="Yes"),R246,0))))</f>
        <v>0</v>
      </c>
      <c r="AD246" s="69"/>
      <c r="AE246" s="69"/>
      <c r="AF246" t="str">
        <f>IF(AD246="Monthly",Table3[[#This Row],[Assessed Term]]*12,IF(AD246="quarterly",Table3[[#This Row],[Assessed Term]]*4,IF(AD246="annually",Table3[[#This Row],[Assessed Term]]*1,IF(AD246="weekly",Table3[[#This Row],[Assessed Term]]*52,IF(AD246="semiannually",Table3[[#This Row],[Assessed Term]]*2," ")))))</f>
        <v xml:space="preserve"> </v>
      </c>
      <c r="AG246" s="69"/>
      <c r="AH246" s="69"/>
      <c r="AI246" s="73"/>
      <c r="AJ246" s="73"/>
      <c r="AK246" s="73"/>
      <c r="AL246" s="69"/>
      <c r="AM246" s="69"/>
      <c r="AN246" s="120"/>
      <c r="AO246" s="76" t="b">
        <f>IF(K246 = "Lease",+PV(AN246/(AF246/Table3[[#This Row],[Assessed Term]]),AF246,-AI246,0,IF(AE246="Beginning",1,0)))</f>
        <v>0</v>
      </c>
      <c r="AP246" s="69"/>
      <c r="AQ246" s="76">
        <f t="shared" si="29"/>
        <v>0</v>
      </c>
      <c r="AR246" s="72"/>
    </row>
    <row r="247" spans="1:44">
      <c r="A247" s="69"/>
      <c r="B247" s="70"/>
      <c r="C247" s="69"/>
      <c r="D247" s="69"/>
      <c r="E247" s="69"/>
      <c r="F247" s="69"/>
      <c r="G247" s="69"/>
      <c r="H247" s="69"/>
      <c r="I247" s="69"/>
      <c r="J247" s="69"/>
      <c r="K247" t="str">
        <f t="shared" si="23"/>
        <v>Not a Lease</v>
      </c>
      <c r="L247" s="69"/>
      <c r="M247" s="69"/>
      <c r="N247" s="69"/>
      <c r="O247" s="69"/>
      <c r="P247" s="69"/>
      <c r="Q247" s="69"/>
      <c r="R247" s="69"/>
      <c r="S247" s="69"/>
      <c r="T247" s="69"/>
      <c r="U247" s="69"/>
      <c r="V247" s="69"/>
      <c r="W247" s="69"/>
      <c r="X247" s="69"/>
      <c r="Y247" s="69"/>
      <c r="Z247">
        <f t="shared" si="28"/>
        <v>0</v>
      </c>
      <c r="AA247">
        <f t="shared" si="24"/>
        <v>0</v>
      </c>
      <c r="AB247">
        <f t="shared" si="25"/>
        <v>0</v>
      </c>
      <c r="AC247">
        <f>+IF(Table3[[#This Row],[Do Both Parties have to agree for extension to occur?]]="Yes",0,IF(AND(W247="Yes",Q247="Yes"),IF(R247=X247,R247,MAX(R247,X247)),IF(AND(W247="Yes",OR(Q247="No",Q247="")),X247,IF(AND(OR(W247="No",W247=""),Q247="Yes"),R247,0))))</f>
        <v>0</v>
      </c>
      <c r="AD247" s="69"/>
      <c r="AE247" s="69"/>
      <c r="AF247" t="str">
        <f>IF(AD247="Monthly",Table3[[#This Row],[Assessed Term]]*12,IF(AD247="quarterly",Table3[[#This Row],[Assessed Term]]*4,IF(AD247="annually",Table3[[#This Row],[Assessed Term]]*1,IF(AD247="weekly",Table3[[#This Row],[Assessed Term]]*52,IF(AD247="semiannually",Table3[[#This Row],[Assessed Term]]*2," ")))))</f>
        <v xml:space="preserve"> </v>
      </c>
      <c r="AG247" s="69"/>
      <c r="AH247" s="69"/>
      <c r="AI247" s="73"/>
      <c r="AJ247" s="73"/>
      <c r="AK247" s="73"/>
      <c r="AL247" s="69"/>
      <c r="AM247" s="69"/>
      <c r="AN247" s="120"/>
      <c r="AO247" s="76" t="b">
        <f>IF(K247 = "Lease",+PV(AN247/(AF247/Table3[[#This Row],[Assessed Term]]),AF247,-AI247,0,IF(AE247="Beginning",1,0)))</f>
        <v>0</v>
      </c>
      <c r="AP247" s="69"/>
      <c r="AQ247" s="76">
        <f t="shared" si="29"/>
        <v>0</v>
      </c>
      <c r="AR247" s="72"/>
    </row>
    <row r="248" spans="1:44">
      <c r="A248" s="69"/>
      <c r="B248" s="70"/>
      <c r="C248" s="69"/>
      <c r="D248" s="69"/>
      <c r="E248" s="69"/>
      <c r="F248" s="69"/>
      <c r="G248" s="69"/>
      <c r="H248" s="69"/>
      <c r="I248" s="69"/>
      <c r="J248" s="69"/>
      <c r="K248" t="str">
        <f t="shared" si="23"/>
        <v>Not a Lease</v>
      </c>
      <c r="L248" s="69"/>
      <c r="M248" s="69"/>
      <c r="N248" s="69"/>
      <c r="O248" s="69"/>
      <c r="P248" s="69"/>
      <c r="Q248" s="69"/>
      <c r="R248" s="69"/>
      <c r="S248" s="69"/>
      <c r="T248" s="69"/>
      <c r="U248" s="69"/>
      <c r="V248" s="69"/>
      <c r="W248" s="69"/>
      <c r="X248" s="69"/>
      <c r="Y248" s="69"/>
      <c r="Z248">
        <f t="shared" si="28"/>
        <v>0</v>
      </c>
      <c r="AA248">
        <f t="shared" si="24"/>
        <v>0</v>
      </c>
      <c r="AB248">
        <f t="shared" si="25"/>
        <v>0</v>
      </c>
      <c r="AC248">
        <f>+IF(Table3[[#This Row],[Do Both Parties have to agree for extension to occur?]]="Yes",0,IF(AND(W248="Yes",Q248="Yes"),IF(R248=X248,R248,MAX(R248,X248)),IF(AND(W248="Yes",OR(Q248="No",Q248="")),X248,IF(AND(OR(W248="No",W248=""),Q248="Yes"),R248,0))))</f>
        <v>0</v>
      </c>
      <c r="AD248" s="69"/>
      <c r="AE248" s="69"/>
      <c r="AF248" t="str">
        <f>IF(AD248="Monthly",Table3[[#This Row],[Assessed Term]]*12,IF(AD248="quarterly",Table3[[#This Row],[Assessed Term]]*4,IF(AD248="annually",Table3[[#This Row],[Assessed Term]]*1,IF(AD248="weekly",Table3[[#This Row],[Assessed Term]]*52,IF(AD248="semiannually",Table3[[#This Row],[Assessed Term]]*2," ")))))</f>
        <v xml:space="preserve"> </v>
      </c>
      <c r="AG248" s="69"/>
      <c r="AH248" s="69"/>
      <c r="AI248" s="73"/>
      <c r="AJ248" s="73"/>
      <c r="AK248" s="73"/>
      <c r="AL248" s="69"/>
      <c r="AM248" s="69"/>
      <c r="AN248" s="120"/>
      <c r="AO248" s="76" t="b">
        <f>IF(K248 = "Lease",+PV(AN248/(AF248/Table3[[#This Row],[Assessed Term]]),AF248,-AI248,0,IF(AE248="Beginning",1,0)))</f>
        <v>0</v>
      </c>
      <c r="AP248" s="69"/>
      <c r="AQ248" s="76">
        <f t="shared" si="29"/>
        <v>0</v>
      </c>
      <c r="AR248" s="72"/>
    </row>
    <row r="249" spans="1:44">
      <c r="A249" s="69"/>
      <c r="B249" s="70"/>
      <c r="C249" s="69"/>
      <c r="D249" s="69"/>
      <c r="E249" s="69"/>
      <c r="F249" s="69"/>
      <c r="G249" s="69"/>
      <c r="H249" s="69"/>
      <c r="I249" s="69"/>
      <c r="J249" s="69"/>
      <c r="K249" t="str">
        <f t="shared" si="23"/>
        <v>Not a Lease</v>
      </c>
      <c r="L249" s="69"/>
      <c r="M249" s="69"/>
      <c r="N249" s="69"/>
      <c r="O249" s="69"/>
      <c r="P249" s="69"/>
      <c r="Q249" s="69"/>
      <c r="R249" s="69"/>
      <c r="S249" s="69"/>
      <c r="T249" s="69"/>
      <c r="U249" s="69"/>
      <c r="V249" s="69"/>
      <c r="W249" s="69"/>
      <c r="X249" s="69"/>
      <c r="Y249" s="69"/>
      <c r="Z249">
        <f t="shared" si="28"/>
        <v>0</v>
      </c>
      <c r="AA249">
        <f t="shared" si="24"/>
        <v>0</v>
      </c>
      <c r="AB249">
        <f t="shared" si="25"/>
        <v>0</v>
      </c>
      <c r="AC249">
        <f>+IF(Table3[[#This Row],[Do Both Parties have to agree for extension to occur?]]="Yes",0,IF(AND(W249="Yes",Q249="Yes"),IF(R249=X249,R249,MAX(R249,X249)),IF(AND(W249="Yes",OR(Q249="No",Q249="")),X249,IF(AND(OR(W249="No",W249=""),Q249="Yes"),R249,0))))</f>
        <v>0</v>
      </c>
      <c r="AD249" s="69"/>
      <c r="AE249" s="69"/>
      <c r="AF249" t="str">
        <f>IF(AD249="Monthly",Table3[[#This Row],[Assessed Term]]*12,IF(AD249="quarterly",Table3[[#This Row],[Assessed Term]]*4,IF(AD249="annually",Table3[[#This Row],[Assessed Term]]*1,IF(AD249="weekly",Table3[[#This Row],[Assessed Term]]*52,IF(AD249="semiannually",Table3[[#This Row],[Assessed Term]]*2," ")))))</f>
        <v xml:space="preserve"> </v>
      </c>
      <c r="AG249" s="69"/>
      <c r="AH249" s="69"/>
      <c r="AI249" s="73"/>
      <c r="AJ249" s="73"/>
      <c r="AK249" s="73"/>
      <c r="AL249" s="69"/>
      <c r="AM249" s="69"/>
      <c r="AN249" s="120"/>
      <c r="AO249" s="76" t="b">
        <f>IF(K249 = "Lease",+PV(AN249/(AF249/Table3[[#This Row],[Assessed Term]]),AF249,-AI249,0,IF(AE249="Beginning",1,0)))</f>
        <v>0</v>
      </c>
      <c r="AP249" s="69"/>
      <c r="AQ249" s="76">
        <f t="shared" si="29"/>
        <v>0</v>
      </c>
      <c r="AR249" s="72"/>
    </row>
    <row r="250" spans="1:44">
      <c r="A250" s="69"/>
      <c r="B250" s="70"/>
      <c r="C250" s="69"/>
      <c r="D250" s="69"/>
      <c r="E250" s="69"/>
      <c r="F250" s="69"/>
      <c r="G250" s="69"/>
      <c r="H250" s="69"/>
      <c r="I250" s="69"/>
      <c r="J250" s="69"/>
      <c r="K250" t="str">
        <f t="shared" si="23"/>
        <v>Not a Lease</v>
      </c>
      <c r="L250" s="69"/>
      <c r="M250" s="69"/>
      <c r="N250" s="69"/>
      <c r="O250" s="69"/>
      <c r="P250" s="69"/>
      <c r="Q250" s="69"/>
      <c r="R250" s="69"/>
      <c r="S250" s="69"/>
      <c r="T250" s="69"/>
      <c r="U250" s="69"/>
      <c r="V250" s="69"/>
      <c r="W250" s="69"/>
      <c r="X250" s="69"/>
      <c r="Y250" s="69"/>
      <c r="Z250">
        <f t="shared" si="28"/>
        <v>0</v>
      </c>
      <c r="AA250">
        <f t="shared" si="24"/>
        <v>0</v>
      </c>
      <c r="AB250">
        <f t="shared" si="25"/>
        <v>0</v>
      </c>
      <c r="AC250">
        <f>+IF(Table3[[#This Row],[Do Both Parties have to agree for extension to occur?]]="Yes",0,IF(AND(W250="Yes",Q250="Yes"),IF(R250=X250,R250,MAX(R250,X250)),IF(AND(W250="Yes",OR(Q250="No",Q250="")),X250,IF(AND(OR(W250="No",W250=""),Q250="Yes"),R250,0))))</f>
        <v>0</v>
      </c>
      <c r="AD250" s="69"/>
      <c r="AE250" s="69"/>
      <c r="AF250" t="str">
        <f>IF(AD250="Monthly",Table3[[#This Row],[Assessed Term]]*12,IF(AD250="quarterly",Table3[[#This Row],[Assessed Term]]*4,IF(AD250="annually",Table3[[#This Row],[Assessed Term]]*1,IF(AD250="weekly",Table3[[#This Row],[Assessed Term]]*52,IF(AD250="semiannually",Table3[[#This Row],[Assessed Term]]*2," ")))))</f>
        <v xml:space="preserve"> </v>
      </c>
      <c r="AG250" s="69"/>
      <c r="AH250" s="69"/>
      <c r="AI250" s="73"/>
      <c r="AJ250" s="73"/>
      <c r="AK250" s="73"/>
      <c r="AL250" s="69"/>
      <c r="AM250" s="69"/>
      <c r="AN250" s="120"/>
      <c r="AO250" s="76" t="b">
        <f>IF(K250 = "Lease",+PV(AN250/(AF250/Table3[[#This Row],[Assessed Term]]),AF250,-AI250,0,IF(AE250="Beginning",1,0)))</f>
        <v>0</v>
      </c>
      <c r="AP250" s="69"/>
      <c r="AQ250" s="76">
        <f t="shared" si="29"/>
        <v>0</v>
      </c>
      <c r="AR250" s="72"/>
    </row>
    <row r="251" spans="1:44">
      <c r="A251" s="69"/>
      <c r="B251" s="70"/>
      <c r="C251" s="69"/>
      <c r="D251" s="69"/>
      <c r="E251" s="69"/>
      <c r="F251" s="69"/>
      <c r="G251" s="69"/>
      <c r="H251" s="69"/>
      <c r="I251" s="69"/>
      <c r="J251" s="69"/>
      <c r="K251" t="str">
        <f t="shared" si="23"/>
        <v>Not a Lease</v>
      </c>
      <c r="L251" s="69"/>
      <c r="M251" s="69"/>
      <c r="N251" s="69"/>
      <c r="O251" s="69"/>
      <c r="P251" s="69"/>
      <c r="Q251" s="69"/>
      <c r="R251" s="69"/>
      <c r="S251" s="69"/>
      <c r="T251" s="69"/>
      <c r="U251" s="69"/>
      <c r="V251" s="69"/>
      <c r="W251" s="69"/>
      <c r="X251" s="69"/>
      <c r="Y251" s="69"/>
      <c r="Z251">
        <f t="shared" si="28"/>
        <v>0</v>
      </c>
      <c r="AA251">
        <f t="shared" si="24"/>
        <v>0</v>
      </c>
      <c r="AB251">
        <f t="shared" si="25"/>
        <v>0</v>
      </c>
      <c r="AC251">
        <f>+IF(Table3[[#This Row],[Do Both Parties have to agree for extension to occur?]]="Yes",0,IF(AND(W251="Yes",Q251="Yes"),IF(R251=X251,R251,MAX(R251,X251)),IF(AND(W251="Yes",OR(Q251="No",Q251="")),X251,IF(AND(OR(W251="No",W251=""),Q251="Yes"),R251,0))))</f>
        <v>0</v>
      </c>
      <c r="AD251" s="69"/>
      <c r="AE251" s="69"/>
      <c r="AF251" t="str">
        <f>IF(AD251="Monthly",Table3[[#This Row],[Assessed Term]]*12,IF(AD251="quarterly",Table3[[#This Row],[Assessed Term]]*4,IF(AD251="annually",Table3[[#This Row],[Assessed Term]]*1,IF(AD251="weekly",Table3[[#This Row],[Assessed Term]]*52,IF(AD251="semiannually",Table3[[#This Row],[Assessed Term]]*2," ")))))</f>
        <v xml:space="preserve"> </v>
      </c>
      <c r="AG251" s="69"/>
      <c r="AH251" s="69"/>
      <c r="AI251" s="73"/>
      <c r="AJ251" s="73"/>
      <c r="AK251" s="73"/>
      <c r="AL251" s="69"/>
      <c r="AM251" s="69"/>
      <c r="AN251" s="120"/>
      <c r="AO251" s="76" t="b">
        <f>IF(K251 = "Lease",+PV(AN251/(AF251/Table3[[#This Row],[Assessed Term]]),AF251,-AI251,0,IF(AE251="Beginning",1,0)))</f>
        <v>0</v>
      </c>
      <c r="AP251" s="69"/>
      <c r="AQ251" s="76">
        <f t="shared" si="29"/>
        <v>0</v>
      </c>
      <c r="AR251" s="72"/>
    </row>
    <row r="252" spans="1:44">
      <c r="A252" s="69"/>
      <c r="B252" s="70"/>
      <c r="C252" s="69"/>
      <c r="D252" s="69"/>
      <c r="E252" s="69"/>
      <c r="F252" s="69"/>
      <c r="G252" s="69"/>
      <c r="H252" s="69"/>
      <c r="I252" s="69"/>
      <c r="J252" s="69"/>
      <c r="K252" t="str">
        <f t="shared" si="23"/>
        <v>Not a Lease</v>
      </c>
      <c r="L252" s="69"/>
      <c r="M252" s="69"/>
      <c r="N252" s="69"/>
      <c r="O252" s="69"/>
      <c r="P252" s="69"/>
      <c r="Q252" s="69"/>
      <c r="R252" s="69"/>
      <c r="S252" s="69"/>
      <c r="T252" s="69"/>
      <c r="U252" s="69"/>
      <c r="V252" s="69"/>
      <c r="W252" s="69"/>
      <c r="X252" s="69"/>
      <c r="Y252" s="69"/>
      <c r="Z252">
        <f t="shared" si="28"/>
        <v>0</v>
      </c>
      <c r="AA252">
        <f t="shared" si="24"/>
        <v>0</v>
      </c>
      <c r="AB252">
        <f t="shared" si="25"/>
        <v>0</v>
      </c>
      <c r="AC252">
        <f>+IF(Table3[[#This Row],[Do Both Parties have to agree for extension to occur?]]="Yes",0,IF(AND(W252="Yes",Q252="Yes"),IF(R252=X252,R252,MAX(R252,X252)),IF(AND(W252="Yes",OR(Q252="No",Q252="")),X252,IF(AND(OR(W252="No",W252=""),Q252="Yes"),R252,0))))</f>
        <v>0</v>
      </c>
      <c r="AD252" s="69"/>
      <c r="AE252" s="69"/>
      <c r="AF252" t="str">
        <f>IF(AD252="Monthly",Table3[[#This Row],[Assessed Term]]*12,IF(AD252="quarterly",Table3[[#This Row],[Assessed Term]]*4,IF(AD252="annually",Table3[[#This Row],[Assessed Term]]*1,IF(AD252="weekly",Table3[[#This Row],[Assessed Term]]*52,IF(AD252="semiannually",Table3[[#This Row],[Assessed Term]]*2," ")))))</f>
        <v xml:space="preserve"> </v>
      </c>
      <c r="AG252" s="69"/>
      <c r="AH252" s="69"/>
      <c r="AI252" s="73"/>
      <c r="AJ252" s="73"/>
      <c r="AK252" s="73"/>
      <c r="AL252" s="69"/>
      <c r="AM252" s="69"/>
      <c r="AN252" s="120"/>
      <c r="AO252" s="76" t="b">
        <f>IF(K252 = "Lease",+PV(AN252/(AF252/Table3[[#This Row],[Assessed Term]]),AF252,-AI252,0,IF(AE252="Beginning",1,0)))</f>
        <v>0</v>
      </c>
      <c r="AP252" s="69"/>
      <c r="AQ252" s="76">
        <f t="shared" si="29"/>
        <v>0</v>
      </c>
      <c r="AR252" s="72"/>
    </row>
    <row r="253" spans="1:44">
      <c r="A253" s="69"/>
      <c r="B253" s="70"/>
      <c r="C253" s="69"/>
      <c r="D253" s="69"/>
      <c r="E253" s="69"/>
      <c r="F253" s="69"/>
      <c r="G253" s="69"/>
      <c r="H253" s="69"/>
      <c r="I253" s="69"/>
      <c r="J253" s="69"/>
      <c r="K253" t="str">
        <f t="shared" si="23"/>
        <v>Not a Lease</v>
      </c>
      <c r="L253" s="69"/>
      <c r="M253" s="69"/>
      <c r="N253" s="69"/>
      <c r="O253" s="69"/>
      <c r="P253" s="69"/>
      <c r="Q253" s="69"/>
      <c r="R253" s="69"/>
      <c r="S253" s="69"/>
      <c r="T253" s="69"/>
      <c r="U253" s="69"/>
      <c r="V253" s="69"/>
      <c r="W253" s="69"/>
      <c r="X253" s="69"/>
      <c r="Y253" s="69"/>
      <c r="Z253">
        <f t="shared" si="28"/>
        <v>0</v>
      </c>
      <c r="AA253">
        <f t="shared" si="24"/>
        <v>0</v>
      </c>
      <c r="AB253">
        <f t="shared" si="25"/>
        <v>0</v>
      </c>
      <c r="AC253">
        <f>+IF(Table3[[#This Row],[Do Both Parties have to agree for extension to occur?]]="Yes",0,IF(AND(W253="Yes",Q253="Yes"),IF(R253=X253,R253,MAX(R253,X253)),IF(AND(W253="Yes",OR(Q253="No",Q253="")),X253,IF(AND(OR(W253="No",W253=""),Q253="Yes"),R253,0))))</f>
        <v>0</v>
      </c>
      <c r="AD253" s="69"/>
      <c r="AE253" s="69"/>
      <c r="AF253" t="str">
        <f>IF(AD253="Monthly",Table3[[#This Row],[Assessed Term]]*12,IF(AD253="quarterly",Table3[[#This Row],[Assessed Term]]*4,IF(AD253="annually",Table3[[#This Row],[Assessed Term]]*1,IF(AD253="weekly",Table3[[#This Row],[Assessed Term]]*52,IF(AD253="semiannually",Table3[[#This Row],[Assessed Term]]*2," ")))))</f>
        <v xml:space="preserve"> </v>
      </c>
      <c r="AG253" s="69"/>
      <c r="AH253" s="69"/>
      <c r="AI253" s="73"/>
      <c r="AJ253" s="73"/>
      <c r="AK253" s="73"/>
      <c r="AL253" s="69"/>
      <c r="AM253" s="69"/>
      <c r="AN253" s="120"/>
      <c r="AO253" s="76" t="b">
        <f>IF(K253 = "Lease",+PV(AN253/(AF253/Table3[[#This Row],[Assessed Term]]),AF253,-AI253,0,IF(AE253="Beginning",1,0)))</f>
        <v>0</v>
      </c>
      <c r="AP253" s="69"/>
      <c r="AQ253" s="76">
        <f t="shared" si="29"/>
        <v>0</v>
      </c>
      <c r="AR253" s="72"/>
    </row>
    <row r="254" spans="1:44">
      <c r="A254" s="69"/>
      <c r="B254" s="70"/>
      <c r="C254" s="69"/>
      <c r="D254" s="69"/>
      <c r="E254" s="69"/>
      <c r="F254" s="69"/>
      <c r="G254" s="69"/>
      <c r="H254" s="69"/>
      <c r="I254" s="69"/>
      <c r="J254" s="69"/>
      <c r="K254" t="str">
        <f t="shared" si="23"/>
        <v>Not a Lease</v>
      </c>
      <c r="L254" s="69"/>
      <c r="M254" s="69"/>
      <c r="N254" s="69"/>
      <c r="O254" s="69"/>
      <c r="P254" s="69"/>
      <c r="Q254" s="69"/>
      <c r="R254" s="69"/>
      <c r="S254" s="69"/>
      <c r="T254" s="69"/>
      <c r="U254" s="69"/>
      <c r="V254" s="69"/>
      <c r="W254" s="69"/>
      <c r="X254" s="69"/>
      <c r="Y254" s="69"/>
      <c r="Z254">
        <f t="shared" si="28"/>
        <v>0</v>
      </c>
      <c r="AA254">
        <f t="shared" si="24"/>
        <v>0</v>
      </c>
      <c r="AB254">
        <f t="shared" si="25"/>
        <v>0</v>
      </c>
      <c r="AC254">
        <f>+IF(Table3[[#This Row],[Do Both Parties have to agree for extension to occur?]]="Yes",0,IF(AND(W254="Yes",Q254="Yes"),IF(R254=X254,R254,MAX(R254,X254)),IF(AND(W254="Yes",OR(Q254="No",Q254="")),X254,IF(AND(OR(W254="No",W254=""),Q254="Yes"),R254,0))))</f>
        <v>0</v>
      </c>
      <c r="AD254" s="69"/>
      <c r="AE254" s="69"/>
      <c r="AF254" t="str">
        <f>IF(AD254="Monthly",Table3[[#This Row],[Assessed Term]]*12,IF(AD254="quarterly",Table3[[#This Row],[Assessed Term]]*4,IF(AD254="annually",Table3[[#This Row],[Assessed Term]]*1,IF(AD254="weekly",Table3[[#This Row],[Assessed Term]]*52,IF(AD254="semiannually",Table3[[#This Row],[Assessed Term]]*2," ")))))</f>
        <v xml:space="preserve"> </v>
      </c>
      <c r="AG254" s="69"/>
      <c r="AH254" s="69"/>
      <c r="AI254" s="73"/>
      <c r="AJ254" s="73"/>
      <c r="AK254" s="73"/>
      <c r="AL254" s="69"/>
      <c r="AM254" s="69"/>
      <c r="AN254" s="120"/>
      <c r="AO254" s="76" t="b">
        <f>IF(K254 = "Lease",+PV(AN254/(AF254/Table3[[#This Row],[Assessed Term]]),AF254,-AI254,0,IF(AE254="Beginning",1,0)))</f>
        <v>0</v>
      </c>
      <c r="AP254" s="69"/>
      <c r="AQ254" s="76">
        <f t="shared" si="29"/>
        <v>0</v>
      </c>
      <c r="AR254" s="72"/>
    </row>
    <row r="255" spans="1:44">
      <c r="A255" s="69"/>
      <c r="B255" s="70"/>
      <c r="C255" s="69"/>
      <c r="D255" s="69"/>
      <c r="E255" s="69"/>
      <c r="F255" s="69"/>
      <c r="G255" s="69"/>
      <c r="H255" s="69"/>
      <c r="I255" s="69"/>
      <c r="J255" s="69"/>
      <c r="K255" t="str">
        <f t="shared" si="23"/>
        <v>Not a Lease</v>
      </c>
      <c r="L255" s="69"/>
      <c r="M255" s="69"/>
      <c r="N255" s="69"/>
      <c r="O255" s="69"/>
      <c r="P255" s="69"/>
      <c r="Q255" s="69"/>
      <c r="R255" s="69"/>
      <c r="S255" s="69"/>
      <c r="T255" s="69"/>
      <c r="U255" s="69"/>
      <c r="V255" s="69"/>
      <c r="W255" s="69"/>
      <c r="X255" s="69"/>
      <c r="Y255" s="69"/>
      <c r="Z255">
        <f t="shared" si="28"/>
        <v>0</v>
      </c>
      <c r="AA255">
        <f t="shared" si="24"/>
        <v>0</v>
      </c>
      <c r="AB255">
        <f t="shared" si="25"/>
        <v>0</v>
      </c>
      <c r="AC255">
        <f>+IF(Table3[[#This Row],[Do Both Parties have to agree for extension to occur?]]="Yes",0,IF(AND(W255="Yes",Q255="Yes"),IF(R255=X255,R255,MAX(R255,X255)),IF(AND(W255="Yes",OR(Q255="No",Q255="")),X255,IF(AND(OR(W255="No",W255=""),Q255="Yes"),R255,0))))</f>
        <v>0</v>
      </c>
      <c r="AD255" s="69"/>
      <c r="AE255" s="69"/>
      <c r="AF255" t="str">
        <f>IF(AD255="Monthly",Table3[[#This Row],[Assessed Term]]*12,IF(AD255="quarterly",Table3[[#This Row],[Assessed Term]]*4,IF(AD255="annually",Table3[[#This Row],[Assessed Term]]*1,IF(AD255="weekly",Table3[[#This Row],[Assessed Term]]*52,IF(AD255="semiannually",Table3[[#This Row],[Assessed Term]]*2," ")))))</f>
        <v xml:space="preserve"> </v>
      </c>
      <c r="AG255" s="69"/>
      <c r="AH255" s="69"/>
      <c r="AI255" s="73"/>
      <c r="AJ255" s="73"/>
      <c r="AK255" s="73"/>
      <c r="AL255" s="69"/>
      <c r="AM255" s="69"/>
      <c r="AN255" s="120"/>
      <c r="AO255" s="76" t="b">
        <f>IF(K255 = "Lease",+PV(AN255/(AF255/Table3[[#This Row],[Assessed Term]]),AF255,-AI255,0,IF(AE255="Beginning",1,0)))</f>
        <v>0</v>
      </c>
      <c r="AP255" s="69"/>
      <c r="AQ255" s="76">
        <f t="shared" si="29"/>
        <v>0</v>
      </c>
      <c r="AR255" s="72"/>
    </row>
    <row r="256" spans="1:44">
      <c r="A256" s="69"/>
      <c r="B256" s="70"/>
      <c r="C256" s="69"/>
      <c r="D256" s="69"/>
      <c r="E256" s="69"/>
      <c r="F256" s="69"/>
      <c r="G256" s="69"/>
      <c r="H256" s="69"/>
      <c r="I256" s="69"/>
      <c r="J256" s="69"/>
      <c r="K256" t="str">
        <f t="shared" si="23"/>
        <v>Not a Lease</v>
      </c>
      <c r="L256" s="69"/>
      <c r="M256" s="69"/>
      <c r="N256" s="69"/>
      <c r="O256" s="69"/>
      <c r="P256" s="69"/>
      <c r="Q256" s="69"/>
      <c r="R256" s="69"/>
      <c r="S256" s="69"/>
      <c r="T256" s="69"/>
      <c r="U256" s="69"/>
      <c r="V256" s="69"/>
      <c r="W256" s="69"/>
      <c r="X256" s="69"/>
      <c r="Y256" s="69"/>
      <c r="Z256">
        <f t="shared" si="28"/>
        <v>0</v>
      </c>
      <c r="AA256">
        <f t="shared" si="24"/>
        <v>0</v>
      </c>
      <c r="AB256">
        <f t="shared" si="25"/>
        <v>0</v>
      </c>
      <c r="AC256">
        <f>+IF(Table3[[#This Row],[Do Both Parties have to agree for extension to occur?]]="Yes",0,IF(AND(W256="Yes",Q256="Yes"),IF(R256=X256,R256,MAX(R256,X256)),IF(AND(W256="Yes",OR(Q256="No",Q256="")),X256,IF(AND(OR(W256="No",W256=""),Q256="Yes"),R256,0))))</f>
        <v>0</v>
      </c>
      <c r="AD256" s="69"/>
      <c r="AE256" s="69"/>
      <c r="AF256" t="str">
        <f>IF(AD256="Monthly",Table3[[#This Row],[Assessed Term]]*12,IF(AD256="quarterly",Table3[[#This Row],[Assessed Term]]*4,IF(AD256="annually",Table3[[#This Row],[Assessed Term]]*1,IF(AD256="weekly",Table3[[#This Row],[Assessed Term]]*52,IF(AD256="semiannually",Table3[[#This Row],[Assessed Term]]*2," ")))))</f>
        <v xml:space="preserve"> </v>
      </c>
      <c r="AG256" s="69"/>
      <c r="AH256" s="69"/>
      <c r="AI256" s="73"/>
      <c r="AJ256" s="73"/>
      <c r="AK256" s="73"/>
      <c r="AL256" s="69"/>
      <c r="AM256" s="69"/>
      <c r="AN256" s="120"/>
      <c r="AO256" s="76" t="b">
        <f>IF(K256 = "Lease",+PV(AN256/(AF256/Table3[[#This Row],[Assessed Term]]),AF256,-AI256,0,IF(AE256="Beginning",1,0)))</f>
        <v>0</v>
      </c>
      <c r="AP256" s="69"/>
      <c r="AQ256" s="76">
        <f t="shared" si="29"/>
        <v>0</v>
      </c>
      <c r="AR256" s="72"/>
    </row>
    <row r="257" spans="1:44">
      <c r="A257" s="69"/>
      <c r="B257" s="70"/>
      <c r="C257" s="69"/>
      <c r="D257" s="69"/>
      <c r="E257" s="69"/>
      <c r="F257" s="69"/>
      <c r="G257" s="69"/>
      <c r="H257" s="69"/>
      <c r="I257" s="69"/>
      <c r="J257" s="69"/>
      <c r="K257" t="str">
        <f t="shared" si="23"/>
        <v>Not a Lease</v>
      </c>
      <c r="L257" s="69"/>
      <c r="M257" s="69"/>
      <c r="N257" s="69"/>
      <c r="O257" s="69"/>
      <c r="P257" s="69"/>
      <c r="Q257" s="69"/>
      <c r="R257" s="69"/>
      <c r="S257" s="69"/>
      <c r="T257" s="69"/>
      <c r="U257" s="69"/>
      <c r="V257" s="69"/>
      <c r="W257" s="69"/>
      <c r="X257" s="69"/>
      <c r="Y257" s="69"/>
      <c r="Z257">
        <f t="shared" si="28"/>
        <v>0</v>
      </c>
      <c r="AA257">
        <f t="shared" si="24"/>
        <v>0</v>
      </c>
      <c r="AB257">
        <f t="shared" si="25"/>
        <v>0</v>
      </c>
      <c r="AC257">
        <f>+IF(Table3[[#This Row],[Do Both Parties have to agree for extension to occur?]]="Yes",0,IF(AND(W257="Yes",Q257="Yes"),IF(R257=X257,R257,MAX(R257,X257)),IF(AND(W257="Yes",OR(Q257="No",Q257="")),X257,IF(AND(OR(W257="No",W257=""),Q257="Yes"),R257,0))))</f>
        <v>0</v>
      </c>
      <c r="AD257" s="69"/>
      <c r="AE257" s="69"/>
      <c r="AF257" t="str">
        <f>IF(AD257="Monthly",Table3[[#This Row],[Assessed Term]]*12,IF(AD257="quarterly",Table3[[#This Row],[Assessed Term]]*4,IF(AD257="annually",Table3[[#This Row],[Assessed Term]]*1,IF(AD257="weekly",Table3[[#This Row],[Assessed Term]]*52,IF(AD257="semiannually",Table3[[#This Row],[Assessed Term]]*2," ")))))</f>
        <v xml:space="preserve"> </v>
      </c>
      <c r="AG257" s="69"/>
      <c r="AH257" s="69"/>
      <c r="AI257" s="73"/>
      <c r="AJ257" s="73"/>
      <c r="AK257" s="73"/>
      <c r="AL257" s="69"/>
      <c r="AM257" s="69"/>
      <c r="AN257" s="120"/>
      <c r="AO257" s="76" t="b">
        <f>IF(K257 = "Lease",+PV(AN257/(AF257/Table3[[#This Row],[Assessed Term]]),AF257,-AI257,0,IF(AE257="Beginning",1,0)))</f>
        <v>0</v>
      </c>
      <c r="AP257" s="69"/>
      <c r="AQ257" s="76">
        <f t="shared" si="29"/>
        <v>0</v>
      </c>
      <c r="AR257" s="72"/>
    </row>
    <row r="258" spans="1:44">
      <c r="A258" s="69"/>
      <c r="B258" s="70"/>
      <c r="C258" s="69"/>
      <c r="D258" s="69"/>
      <c r="E258" s="69"/>
      <c r="F258" s="69"/>
      <c r="G258" s="69"/>
      <c r="H258" s="69"/>
      <c r="I258" s="69"/>
      <c r="J258" s="69"/>
      <c r="K258" t="str">
        <f t="shared" si="23"/>
        <v>Not a Lease</v>
      </c>
      <c r="L258" s="69"/>
      <c r="M258" s="69"/>
      <c r="N258" s="69"/>
      <c r="O258" s="69"/>
      <c r="P258" s="69"/>
      <c r="Q258" s="69"/>
      <c r="R258" s="69"/>
      <c r="S258" s="69"/>
      <c r="T258" s="69"/>
      <c r="U258" s="69"/>
      <c r="V258" s="69"/>
      <c r="W258" s="69"/>
      <c r="X258" s="69"/>
      <c r="Y258" s="69"/>
      <c r="Z258">
        <f t="shared" si="28"/>
        <v>0</v>
      </c>
      <c r="AA258">
        <f t="shared" si="24"/>
        <v>0</v>
      </c>
      <c r="AB258">
        <f t="shared" si="25"/>
        <v>0</v>
      </c>
      <c r="AC258">
        <f>+IF(Table3[[#This Row],[Do Both Parties have to agree for extension to occur?]]="Yes",0,IF(AND(W258="Yes",Q258="Yes"),IF(R258=X258,R258,MAX(R258,X258)),IF(AND(W258="Yes",OR(Q258="No",Q258="")),X258,IF(AND(OR(W258="No",W258=""),Q258="Yes"),R258,0))))</f>
        <v>0</v>
      </c>
      <c r="AD258" s="69"/>
      <c r="AE258" s="69"/>
      <c r="AF258" t="str">
        <f>IF(AD258="Monthly",Table3[[#This Row],[Assessed Term]]*12,IF(AD258="quarterly",Table3[[#This Row],[Assessed Term]]*4,IF(AD258="annually",Table3[[#This Row],[Assessed Term]]*1,IF(AD258="weekly",Table3[[#This Row],[Assessed Term]]*52,IF(AD258="semiannually",Table3[[#This Row],[Assessed Term]]*2," ")))))</f>
        <v xml:space="preserve"> </v>
      </c>
      <c r="AG258" s="69"/>
      <c r="AH258" s="69"/>
      <c r="AI258" s="73"/>
      <c r="AJ258" s="73"/>
      <c r="AK258" s="73"/>
      <c r="AL258" s="69"/>
      <c r="AM258" s="69"/>
      <c r="AN258" s="120"/>
      <c r="AO258" s="76" t="b">
        <f>IF(K258 = "Lease",+PV(AN258/(AF258/Table3[[#This Row],[Assessed Term]]),AF258,-AI258,0,IF(AE258="Beginning",1,0)))</f>
        <v>0</v>
      </c>
      <c r="AP258" s="69"/>
      <c r="AQ258" s="76">
        <f t="shared" si="29"/>
        <v>0</v>
      </c>
      <c r="AR258" s="72"/>
    </row>
    <row r="259" spans="1:44">
      <c r="A259" s="69"/>
      <c r="B259" s="70"/>
      <c r="C259" s="69"/>
      <c r="D259" s="69"/>
      <c r="E259" s="69"/>
      <c r="F259" s="69"/>
      <c r="G259" s="69"/>
      <c r="H259" s="69"/>
      <c r="I259" s="69"/>
      <c r="J259" s="69"/>
      <c r="K259" t="str">
        <f t="shared" si="23"/>
        <v>Not a Lease</v>
      </c>
      <c r="L259" s="69"/>
      <c r="M259" s="69"/>
      <c r="N259" s="69"/>
      <c r="O259" s="69"/>
      <c r="P259" s="69"/>
      <c r="Q259" s="69"/>
      <c r="R259" s="69"/>
      <c r="S259" s="69"/>
      <c r="T259" s="69"/>
      <c r="U259" s="69"/>
      <c r="V259" s="69"/>
      <c r="W259" s="69"/>
      <c r="X259" s="69"/>
      <c r="Y259" s="69"/>
      <c r="Z259">
        <f t="shared" si="28"/>
        <v>0</v>
      </c>
      <c r="AA259">
        <f t="shared" si="24"/>
        <v>0</v>
      </c>
      <c r="AB259">
        <f t="shared" si="25"/>
        <v>0</v>
      </c>
      <c r="AC259">
        <f>+IF(Table3[[#This Row],[Do Both Parties have to agree for extension to occur?]]="Yes",0,IF(AND(W259="Yes",Q259="Yes"),IF(R259=X259,R259,MAX(R259,X259)),IF(AND(W259="Yes",OR(Q259="No",Q259="")),X259,IF(AND(OR(W259="No",W259=""),Q259="Yes"),R259,0))))</f>
        <v>0</v>
      </c>
      <c r="AD259" s="69"/>
      <c r="AE259" s="69"/>
      <c r="AF259" t="str">
        <f>IF(AD259="Monthly",Table3[[#This Row],[Assessed Term]]*12,IF(AD259="quarterly",Table3[[#This Row],[Assessed Term]]*4,IF(AD259="annually",Table3[[#This Row],[Assessed Term]]*1,IF(AD259="weekly",Table3[[#This Row],[Assessed Term]]*52,IF(AD259="semiannually",Table3[[#This Row],[Assessed Term]]*2," ")))))</f>
        <v xml:space="preserve"> </v>
      </c>
      <c r="AG259" s="69"/>
      <c r="AH259" s="69"/>
      <c r="AI259" s="73"/>
      <c r="AJ259" s="73"/>
      <c r="AK259" s="73"/>
      <c r="AL259" s="69"/>
      <c r="AM259" s="69"/>
      <c r="AN259" s="120"/>
      <c r="AO259" s="76" t="b">
        <f>IF(K259 = "Lease",+PV(AN259/(AF259/Table3[[#This Row],[Assessed Term]]),AF259,-AI259,0,IF(AE259="Beginning",1,0)))</f>
        <v>0</v>
      </c>
      <c r="AP259" s="69"/>
      <c r="AQ259" s="76">
        <f t="shared" si="29"/>
        <v>0</v>
      </c>
      <c r="AR259" s="72"/>
    </row>
    <row r="260" spans="1:44">
      <c r="A260" s="69"/>
      <c r="B260" s="70"/>
      <c r="C260" s="69"/>
      <c r="D260" s="69"/>
      <c r="E260" s="69"/>
      <c r="F260" s="69"/>
      <c r="G260" s="69"/>
      <c r="H260" s="69"/>
      <c r="I260" s="69"/>
      <c r="J260" s="69"/>
      <c r="K260" t="str">
        <f t="shared" ref="K260:K323" si="30">+IF(AND(F260="yes",G260="yes", H260="no",E260&lt;&gt;"Intangible Asset",E260&lt;&gt;"Service",I260 ="yes", E260&lt;&gt;"Investment", E260&lt;&gt;"Inventory",J260&lt;&gt;"Yes",E260&lt;&gt;""),"Lease","Not a Lease")</f>
        <v>Not a Lease</v>
      </c>
      <c r="L260" s="69"/>
      <c r="M260" s="69"/>
      <c r="N260" s="69"/>
      <c r="O260" s="69"/>
      <c r="P260" s="69"/>
      <c r="Q260" s="69"/>
      <c r="R260" s="69"/>
      <c r="S260" s="69"/>
      <c r="T260" s="69"/>
      <c r="U260" s="69"/>
      <c r="V260" s="69"/>
      <c r="W260" s="69"/>
      <c r="X260" s="69"/>
      <c r="Y260" s="69"/>
      <c r="Z260">
        <f t="shared" si="28"/>
        <v>0</v>
      </c>
      <c r="AA260">
        <f t="shared" ref="AA260:AA323" si="31">+IF(AND(S260="Yes",M260="Yes"),IF(OR(O260=U260,O260&lt;U260),U260,O260),L260)</f>
        <v>0</v>
      </c>
      <c r="AB260">
        <f t="shared" ref="AB260:AB323" si="32">+IF(M260=S260,MAX(O260,U260),(IF(OR(T260="yes",N260="Yes"),MIN(O260,U260),IF(AND(T260="Yes",N260="No"),U260,IF(AND(T260="No",N260="Yes"),O260,0)))))</f>
        <v>0</v>
      </c>
      <c r="AC260">
        <f>+IF(Table3[[#This Row],[Do Both Parties have to agree for extension to occur?]]="Yes",0,IF(AND(W260="Yes",Q260="Yes"),IF(R260=X260,R260,MAX(R260,X260)),IF(AND(W260="Yes",OR(Q260="No",Q260="")),X260,IF(AND(OR(W260="No",W260=""),Q260="Yes"),R260,0))))</f>
        <v>0</v>
      </c>
      <c r="AD260" s="69"/>
      <c r="AE260" s="69"/>
      <c r="AF260" t="str">
        <f>IF(AD260="Monthly",Table3[[#This Row],[Assessed Term]]*12,IF(AD260="quarterly",Table3[[#This Row],[Assessed Term]]*4,IF(AD260="annually",Table3[[#This Row],[Assessed Term]]*1,IF(AD260="weekly",Table3[[#This Row],[Assessed Term]]*52,IF(AD260="semiannually",Table3[[#This Row],[Assessed Term]]*2," ")))))</f>
        <v xml:space="preserve"> </v>
      </c>
      <c r="AG260" s="69"/>
      <c r="AH260" s="69"/>
      <c r="AI260" s="73"/>
      <c r="AJ260" s="73"/>
      <c r="AK260" s="73"/>
      <c r="AL260" s="69"/>
      <c r="AM260" s="69"/>
      <c r="AN260" s="120"/>
      <c r="AO260" s="76" t="b">
        <f>IF(K260 = "Lease",+PV(AN260/(AF260/Table3[[#This Row],[Assessed Term]]),AF260,-AI260,0,IF(AE260="Beginning",1,0)))</f>
        <v>0</v>
      </c>
      <c r="AP260" s="69"/>
      <c r="AQ260" s="76">
        <f t="shared" si="29"/>
        <v>0</v>
      </c>
      <c r="AR260" s="72"/>
    </row>
    <row r="261" spans="1:44">
      <c r="A261" s="69"/>
      <c r="B261" s="70"/>
      <c r="C261" s="69"/>
      <c r="D261" s="69"/>
      <c r="E261" s="69"/>
      <c r="F261" s="69"/>
      <c r="G261" s="69"/>
      <c r="H261" s="69"/>
      <c r="I261" s="69"/>
      <c r="J261" s="69"/>
      <c r="K261" t="str">
        <f t="shared" si="30"/>
        <v>Not a Lease</v>
      </c>
      <c r="L261" s="69"/>
      <c r="M261" s="69"/>
      <c r="N261" s="69"/>
      <c r="O261" s="69"/>
      <c r="P261" s="69"/>
      <c r="Q261" s="69"/>
      <c r="R261" s="69"/>
      <c r="S261" s="69"/>
      <c r="T261" s="69"/>
      <c r="U261" s="69"/>
      <c r="V261" s="69"/>
      <c r="W261" s="69"/>
      <c r="X261" s="69"/>
      <c r="Y261" s="69"/>
      <c r="Z261">
        <f t="shared" si="28"/>
        <v>0</v>
      </c>
      <c r="AA261">
        <f t="shared" si="31"/>
        <v>0</v>
      </c>
      <c r="AB261">
        <f t="shared" si="32"/>
        <v>0</v>
      </c>
      <c r="AC261">
        <f>+IF(Table3[[#This Row],[Do Both Parties have to agree for extension to occur?]]="Yes",0,IF(AND(W261="Yes",Q261="Yes"),IF(R261=X261,R261,MAX(R261,X261)),IF(AND(W261="Yes",OR(Q261="No",Q261="")),X261,IF(AND(OR(W261="No",W261=""),Q261="Yes"),R261,0))))</f>
        <v>0</v>
      </c>
      <c r="AD261" s="69"/>
      <c r="AE261" s="69"/>
      <c r="AF261" t="str">
        <f>IF(AD261="Monthly",Table3[[#This Row],[Assessed Term]]*12,IF(AD261="quarterly",Table3[[#This Row],[Assessed Term]]*4,IF(AD261="annually",Table3[[#This Row],[Assessed Term]]*1,IF(AD261="weekly",Table3[[#This Row],[Assessed Term]]*52,IF(AD261="semiannually",Table3[[#This Row],[Assessed Term]]*2," ")))))</f>
        <v xml:space="preserve"> </v>
      </c>
      <c r="AG261" s="69"/>
      <c r="AH261" s="69"/>
      <c r="AI261" s="73"/>
      <c r="AJ261" s="73"/>
      <c r="AK261" s="73"/>
      <c r="AL261" s="69"/>
      <c r="AM261" s="69"/>
      <c r="AN261" s="120"/>
      <c r="AO261" s="76" t="b">
        <f>IF(K261 = "Lease",+PV(AN261/(AF261/Table3[[#This Row],[Assessed Term]]),AF261,-AI261,0,IF(AE261="Beginning",1,0)))</f>
        <v>0</v>
      </c>
      <c r="AP261" s="69"/>
      <c r="AQ261" s="76">
        <f t="shared" si="29"/>
        <v>0</v>
      </c>
      <c r="AR261" s="72"/>
    </row>
    <row r="262" spans="1:44">
      <c r="A262" s="69"/>
      <c r="B262" s="70"/>
      <c r="C262" s="69"/>
      <c r="D262" s="69"/>
      <c r="E262" s="69"/>
      <c r="F262" s="69"/>
      <c r="G262" s="69"/>
      <c r="H262" s="69"/>
      <c r="I262" s="69"/>
      <c r="J262" s="69"/>
      <c r="K262" t="str">
        <f t="shared" si="30"/>
        <v>Not a Lease</v>
      </c>
      <c r="L262" s="69"/>
      <c r="M262" s="69"/>
      <c r="N262" s="69"/>
      <c r="O262" s="69"/>
      <c r="P262" s="69"/>
      <c r="Q262" s="69"/>
      <c r="R262" s="69"/>
      <c r="S262" s="69"/>
      <c r="T262" s="69"/>
      <c r="U262" s="69"/>
      <c r="V262" s="69"/>
      <c r="W262" s="69"/>
      <c r="X262" s="69"/>
      <c r="Y262" s="69"/>
      <c r="Z262">
        <f t="shared" si="28"/>
        <v>0</v>
      </c>
      <c r="AA262">
        <f t="shared" si="31"/>
        <v>0</v>
      </c>
      <c r="AB262">
        <f t="shared" si="32"/>
        <v>0</v>
      </c>
      <c r="AC262">
        <f>+IF(Table3[[#This Row],[Do Both Parties have to agree for extension to occur?]]="Yes",0,IF(AND(W262="Yes",Q262="Yes"),IF(R262=X262,R262,MAX(R262,X262)),IF(AND(W262="Yes",OR(Q262="No",Q262="")),X262,IF(AND(OR(W262="No",W262=""),Q262="Yes"),R262,0))))</f>
        <v>0</v>
      </c>
      <c r="AD262" s="69"/>
      <c r="AE262" s="69"/>
      <c r="AF262" t="str">
        <f>IF(AD262="Monthly",Table3[[#This Row],[Assessed Term]]*12,IF(AD262="quarterly",Table3[[#This Row],[Assessed Term]]*4,IF(AD262="annually",Table3[[#This Row],[Assessed Term]]*1,IF(AD262="weekly",Table3[[#This Row],[Assessed Term]]*52,IF(AD262="semiannually",Table3[[#This Row],[Assessed Term]]*2," ")))))</f>
        <v xml:space="preserve"> </v>
      </c>
      <c r="AG262" s="69"/>
      <c r="AH262" s="69"/>
      <c r="AI262" s="73"/>
      <c r="AJ262" s="73"/>
      <c r="AK262" s="73"/>
      <c r="AL262" s="69"/>
      <c r="AM262" s="69"/>
      <c r="AN262" s="120"/>
      <c r="AO262" s="76" t="b">
        <f>IF(K262 = "Lease",+PV(AN262/(AF262/Table3[[#This Row],[Assessed Term]]),AF262,-AI262,0,IF(AE262="Beginning",1,0)))</f>
        <v>0</v>
      </c>
      <c r="AP262" s="69"/>
      <c r="AQ262" s="76">
        <f t="shared" si="29"/>
        <v>0</v>
      </c>
      <c r="AR262" s="72"/>
    </row>
    <row r="263" spans="1:44">
      <c r="A263" s="69"/>
      <c r="B263" s="70"/>
      <c r="C263" s="69"/>
      <c r="D263" s="69"/>
      <c r="E263" s="69"/>
      <c r="F263" s="69"/>
      <c r="G263" s="69"/>
      <c r="H263" s="69"/>
      <c r="I263" s="69"/>
      <c r="J263" s="69"/>
      <c r="K263" t="str">
        <f t="shared" si="30"/>
        <v>Not a Lease</v>
      </c>
      <c r="L263" s="69"/>
      <c r="M263" s="69"/>
      <c r="N263" s="69"/>
      <c r="O263" s="69"/>
      <c r="P263" s="69"/>
      <c r="Q263" s="69"/>
      <c r="R263" s="69"/>
      <c r="S263" s="69"/>
      <c r="T263" s="69"/>
      <c r="U263" s="69"/>
      <c r="V263" s="69"/>
      <c r="W263" s="69"/>
      <c r="X263" s="69"/>
      <c r="Y263" s="69"/>
      <c r="Z263">
        <f t="shared" si="28"/>
        <v>0</v>
      </c>
      <c r="AA263">
        <f t="shared" si="31"/>
        <v>0</v>
      </c>
      <c r="AB263">
        <f t="shared" si="32"/>
        <v>0</v>
      </c>
      <c r="AC263">
        <f>+IF(Table3[[#This Row],[Do Both Parties have to agree for extension to occur?]]="Yes",0,IF(AND(W263="Yes",Q263="Yes"),IF(R263=X263,R263,MAX(R263,X263)),IF(AND(W263="Yes",OR(Q263="No",Q263="")),X263,IF(AND(OR(W263="No",W263=""),Q263="Yes"),R263,0))))</f>
        <v>0</v>
      </c>
      <c r="AD263" s="69"/>
      <c r="AE263" s="69"/>
      <c r="AF263" t="str">
        <f>IF(AD263="Monthly",Table3[[#This Row],[Assessed Term]]*12,IF(AD263="quarterly",Table3[[#This Row],[Assessed Term]]*4,IF(AD263="annually",Table3[[#This Row],[Assessed Term]]*1,IF(AD263="weekly",Table3[[#This Row],[Assessed Term]]*52,IF(AD263="semiannually",Table3[[#This Row],[Assessed Term]]*2," ")))))</f>
        <v xml:space="preserve"> </v>
      </c>
      <c r="AG263" s="69"/>
      <c r="AH263" s="69"/>
      <c r="AI263" s="73"/>
      <c r="AJ263" s="73"/>
      <c r="AK263" s="73"/>
      <c r="AL263" s="69"/>
      <c r="AM263" s="69"/>
      <c r="AN263" s="120"/>
      <c r="AO263" s="76" t="b">
        <f>IF(K263 = "Lease",+PV(AN263/(AF263/Table3[[#This Row],[Assessed Term]]),AF263,-AI263,0,IF(AE263="Beginning",1,0)))</f>
        <v>0</v>
      </c>
      <c r="AP263" s="69"/>
      <c r="AQ263" s="76">
        <f t="shared" si="29"/>
        <v>0</v>
      </c>
      <c r="AR263" s="72"/>
    </row>
    <row r="264" spans="1:44">
      <c r="A264" s="69"/>
      <c r="B264" s="70"/>
      <c r="C264" s="69"/>
      <c r="D264" s="69"/>
      <c r="E264" s="69"/>
      <c r="F264" s="69"/>
      <c r="G264" s="69"/>
      <c r="H264" s="69"/>
      <c r="I264" s="69"/>
      <c r="J264" s="69"/>
      <c r="K264" t="str">
        <f t="shared" si="30"/>
        <v>Not a Lease</v>
      </c>
      <c r="L264" s="69"/>
      <c r="M264" s="69"/>
      <c r="N264" s="69"/>
      <c r="O264" s="69"/>
      <c r="P264" s="69"/>
      <c r="Q264" s="69"/>
      <c r="R264" s="69"/>
      <c r="S264" s="69"/>
      <c r="T264" s="69"/>
      <c r="U264" s="69"/>
      <c r="V264" s="69"/>
      <c r="W264" s="69"/>
      <c r="X264" s="69"/>
      <c r="Y264" s="69"/>
      <c r="Z264">
        <f t="shared" si="28"/>
        <v>0</v>
      </c>
      <c r="AA264">
        <f t="shared" si="31"/>
        <v>0</v>
      </c>
      <c r="AB264">
        <f t="shared" si="32"/>
        <v>0</v>
      </c>
      <c r="AC264">
        <f>+IF(Table3[[#This Row],[Do Both Parties have to agree for extension to occur?]]="Yes",0,IF(AND(W264="Yes",Q264="Yes"),IF(R264=X264,R264,MAX(R264,X264)),IF(AND(W264="Yes",OR(Q264="No",Q264="")),X264,IF(AND(OR(W264="No",W264=""),Q264="Yes"),R264,0))))</f>
        <v>0</v>
      </c>
      <c r="AD264" s="69"/>
      <c r="AE264" s="69"/>
      <c r="AF264" t="str">
        <f>IF(AD264="Monthly",Table3[[#This Row],[Assessed Term]]*12,IF(AD264="quarterly",Table3[[#This Row],[Assessed Term]]*4,IF(AD264="annually",Table3[[#This Row],[Assessed Term]]*1,IF(AD264="weekly",Table3[[#This Row],[Assessed Term]]*52,IF(AD264="semiannually",Table3[[#This Row],[Assessed Term]]*2," ")))))</f>
        <v xml:space="preserve"> </v>
      </c>
      <c r="AG264" s="69"/>
      <c r="AH264" s="69"/>
      <c r="AI264" s="73"/>
      <c r="AJ264" s="73"/>
      <c r="AK264" s="73"/>
      <c r="AL264" s="69"/>
      <c r="AM264" s="69"/>
      <c r="AN264" s="120"/>
      <c r="AO264" s="76" t="b">
        <f>IF(K264 = "Lease",+PV(AN264/(AF264/Table3[[#This Row],[Assessed Term]]),AF264,-AI264,0,IF(AE264="Beginning",1,0)))</f>
        <v>0</v>
      </c>
      <c r="AP264" s="69"/>
      <c r="AQ264" s="76">
        <f t="shared" si="29"/>
        <v>0</v>
      </c>
      <c r="AR264" s="72"/>
    </row>
    <row r="265" spans="1:44">
      <c r="A265" s="69"/>
      <c r="B265" s="70"/>
      <c r="C265" s="69"/>
      <c r="D265" s="69"/>
      <c r="E265" s="69"/>
      <c r="F265" s="69"/>
      <c r="G265" s="69"/>
      <c r="H265" s="69"/>
      <c r="I265" s="69"/>
      <c r="J265" s="69"/>
      <c r="K265" t="str">
        <f t="shared" si="30"/>
        <v>Not a Lease</v>
      </c>
      <c r="L265" s="69"/>
      <c r="M265" s="69"/>
      <c r="N265" s="69"/>
      <c r="O265" s="69"/>
      <c r="P265" s="69"/>
      <c r="Q265" s="69"/>
      <c r="R265" s="69"/>
      <c r="S265" s="69"/>
      <c r="T265" s="69"/>
      <c r="U265" s="69"/>
      <c r="V265" s="69"/>
      <c r="W265" s="69"/>
      <c r="X265" s="69"/>
      <c r="Y265" s="69"/>
      <c r="Z265">
        <f t="shared" si="28"/>
        <v>0</v>
      </c>
      <c r="AA265">
        <f t="shared" si="31"/>
        <v>0</v>
      </c>
      <c r="AB265">
        <f t="shared" si="32"/>
        <v>0</v>
      </c>
      <c r="AC265">
        <f>+IF(Table3[[#This Row],[Do Both Parties have to agree for extension to occur?]]="Yes",0,IF(AND(W265="Yes",Q265="Yes"),IF(R265=X265,R265,MAX(R265,X265)),IF(AND(W265="Yes",OR(Q265="No",Q265="")),X265,IF(AND(OR(W265="No",W265=""),Q265="Yes"),R265,0))))</f>
        <v>0</v>
      </c>
      <c r="AD265" s="69"/>
      <c r="AE265" s="69"/>
      <c r="AF265" t="str">
        <f>IF(AD265="Monthly",Table3[[#This Row],[Assessed Term]]*12,IF(AD265="quarterly",Table3[[#This Row],[Assessed Term]]*4,IF(AD265="annually",Table3[[#This Row],[Assessed Term]]*1,IF(AD265="weekly",Table3[[#This Row],[Assessed Term]]*52,IF(AD265="semiannually",Table3[[#This Row],[Assessed Term]]*2," ")))))</f>
        <v xml:space="preserve"> </v>
      </c>
      <c r="AG265" s="69"/>
      <c r="AH265" s="69"/>
      <c r="AI265" s="73"/>
      <c r="AJ265" s="73"/>
      <c r="AK265" s="73"/>
      <c r="AL265" s="69"/>
      <c r="AM265" s="69"/>
      <c r="AN265" s="120"/>
      <c r="AO265" s="76" t="b">
        <f>IF(K265 = "Lease",+PV(AN265/(AF265/Table3[[#This Row],[Assessed Term]]),AF265,-AI265,0,IF(AE265="Beginning",1,0)))</f>
        <v>0</v>
      </c>
      <c r="AP265" s="69"/>
      <c r="AQ265" s="76">
        <f t="shared" si="29"/>
        <v>0</v>
      </c>
      <c r="AR265" s="72"/>
    </row>
    <row r="266" spans="1:44">
      <c r="A266" s="69"/>
      <c r="B266" s="70"/>
      <c r="C266" s="69"/>
      <c r="D266" s="69"/>
      <c r="E266" s="69"/>
      <c r="F266" s="69"/>
      <c r="G266" s="69"/>
      <c r="H266" s="69"/>
      <c r="I266" s="69"/>
      <c r="J266" s="69"/>
      <c r="K266" t="str">
        <f t="shared" si="30"/>
        <v>Not a Lease</v>
      </c>
      <c r="L266" s="69"/>
      <c r="M266" s="69"/>
      <c r="N266" s="69"/>
      <c r="O266" s="69"/>
      <c r="P266" s="69"/>
      <c r="Q266" s="69"/>
      <c r="R266" s="69"/>
      <c r="S266" s="69"/>
      <c r="T266" s="69"/>
      <c r="U266" s="69"/>
      <c r="V266" s="69"/>
      <c r="W266" s="69"/>
      <c r="X266" s="69"/>
      <c r="Y266" s="69"/>
      <c r="Z266">
        <f t="shared" si="28"/>
        <v>0</v>
      </c>
      <c r="AA266">
        <f t="shared" si="31"/>
        <v>0</v>
      </c>
      <c r="AB266">
        <f t="shared" si="32"/>
        <v>0</v>
      </c>
      <c r="AC266">
        <f>+IF(Table3[[#This Row],[Do Both Parties have to agree for extension to occur?]]="Yes",0,IF(AND(W266="Yes",Q266="Yes"),IF(R266=X266,R266,MAX(R266,X266)),IF(AND(W266="Yes",OR(Q266="No",Q266="")),X266,IF(AND(OR(W266="No",W266=""),Q266="Yes"),R266,0))))</f>
        <v>0</v>
      </c>
      <c r="AD266" s="69"/>
      <c r="AE266" s="69"/>
      <c r="AF266" t="str">
        <f>IF(AD266="Monthly",Table3[[#This Row],[Assessed Term]]*12,IF(AD266="quarterly",Table3[[#This Row],[Assessed Term]]*4,IF(AD266="annually",Table3[[#This Row],[Assessed Term]]*1,IF(AD266="weekly",Table3[[#This Row],[Assessed Term]]*52,IF(AD266="semiannually",Table3[[#This Row],[Assessed Term]]*2," ")))))</f>
        <v xml:space="preserve"> </v>
      </c>
      <c r="AG266" s="69"/>
      <c r="AH266" s="69"/>
      <c r="AI266" s="73"/>
      <c r="AJ266" s="73"/>
      <c r="AK266" s="73"/>
      <c r="AL266" s="69"/>
      <c r="AM266" s="69"/>
      <c r="AN266" s="120"/>
      <c r="AO266" s="76" t="b">
        <f>IF(K266 = "Lease",+PV(AN266/(AF266/Table3[[#This Row],[Assessed Term]]),AF266,-AI266,0,IF(AE266="Beginning",1,0)))</f>
        <v>0</v>
      </c>
      <c r="AP266" s="69"/>
      <c r="AQ266" s="76">
        <f t="shared" si="29"/>
        <v>0</v>
      </c>
      <c r="AR266" s="72"/>
    </row>
    <row r="267" spans="1:44">
      <c r="A267" s="69"/>
      <c r="B267" s="70"/>
      <c r="C267" s="69"/>
      <c r="D267" s="69"/>
      <c r="E267" s="69"/>
      <c r="F267" s="69"/>
      <c r="G267" s="69"/>
      <c r="H267" s="69"/>
      <c r="I267" s="69"/>
      <c r="J267" s="69"/>
      <c r="K267" t="str">
        <f t="shared" si="30"/>
        <v>Not a Lease</v>
      </c>
      <c r="L267" s="69"/>
      <c r="M267" s="69"/>
      <c r="N267" s="69"/>
      <c r="O267" s="69"/>
      <c r="P267" s="69"/>
      <c r="Q267" s="69"/>
      <c r="R267" s="69"/>
      <c r="S267" s="69"/>
      <c r="T267" s="69"/>
      <c r="U267" s="69"/>
      <c r="V267" s="69"/>
      <c r="W267" s="69"/>
      <c r="X267" s="69"/>
      <c r="Y267" s="69"/>
      <c r="Z267">
        <f t="shared" si="28"/>
        <v>0</v>
      </c>
      <c r="AA267">
        <f t="shared" si="31"/>
        <v>0</v>
      </c>
      <c r="AB267">
        <f t="shared" si="32"/>
        <v>0</v>
      </c>
      <c r="AC267">
        <f>+IF(Table3[[#This Row],[Do Both Parties have to agree for extension to occur?]]="Yes",0,IF(AND(W267="Yes",Q267="Yes"),IF(R267=X267,R267,MAX(R267,X267)),IF(AND(W267="Yes",OR(Q267="No",Q267="")),X267,IF(AND(OR(W267="No",W267=""),Q267="Yes"),R267,0))))</f>
        <v>0</v>
      </c>
      <c r="AD267" s="69"/>
      <c r="AE267" s="69"/>
      <c r="AF267" t="str">
        <f>IF(AD267="Monthly",Table3[[#This Row],[Assessed Term]]*12,IF(AD267="quarterly",Table3[[#This Row],[Assessed Term]]*4,IF(AD267="annually",Table3[[#This Row],[Assessed Term]]*1,IF(AD267="weekly",Table3[[#This Row],[Assessed Term]]*52,IF(AD267="semiannually",Table3[[#This Row],[Assessed Term]]*2," ")))))</f>
        <v xml:space="preserve"> </v>
      </c>
      <c r="AG267" s="69"/>
      <c r="AH267" s="69"/>
      <c r="AI267" s="73"/>
      <c r="AJ267" s="73"/>
      <c r="AK267" s="73"/>
      <c r="AL267" s="69"/>
      <c r="AM267" s="69"/>
      <c r="AN267" s="120"/>
      <c r="AO267" s="76" t="b">
        <f>IF(K267 = "Lease",+PV(AN267/(AF267/Table3[[#This Row],[Assessed Term]]),AF267,-AI267,0,IF(AE267="Beginning",1,0)))</f>
        <v>0</v>
      </c>
      <c r="AP267" s="69"/>
      <c r="AQ267" s="76">
        <f t="shared" si="29"/>
        <v>0</v>
      </c>
      <c r="AR267" s="72"/>
    </row>
    <row r="268" spans="1:44">
      <c r="A268" s="69"/>
      <c r="B268" s="70"/>
      <c r="C268" s="69"/>
      <c r="D268" s="69"/>
      <c r="E268" s="69"/>
      <c r="F268" s="69"/>
      <c r="G268" s="69"/>
      <c r="H268" s="69"/>
      <c r="I268" s="69"/>
      <c r="J268" s="69"/>
      <c r="K268" t="str">
        <f t="shared" si="30"/>
        <v>Not a Lease</v>
      </c>
      <c r="L268" s="69"/>
      <c r="M268" s="69"/>
      <c r="N268" s="69"/>
      <c r="O268" s="69"/>
      <c r="P268" s="69"/>
      <c r="Q268" s="69"/>
      <c r="R268" s="69"/>
      <c r="S268" s="69"/>
      <c r="T268" s="69"/>
      <c r="U268" s="69"/>
      <c r="V268" s="69"/>
      <c r="W268" s="69"/>
      <c r="X268" s="69"/>
      <c r="Y268" s="69"/>
      <c r="Z268">
        <f t="shared" si="28"/>
        <v>0</v>
      </c>
      <c r="AA268">
        <f t="shared" si="31"/>
        <v>0</v>
      </c>
      <c r="AB268">
        <f t="shared" si="32"/>
        <v>0</v>
      </c>
      <c r="AC268">
        <f>+IF(Table3[[#This Row],[Do Both Parties have to agree for extension to occur?]]="Yes",0,IF(AND(W268="Yes",Q268="Yes"),IF(R268=X268,R268,MAX(R268,X268)),IF(AND(W268="Yes",OR(Q268="No",Q268="")),X268,IF(AND(OR(W268="No",W268=""),Q268="Yes"),R268,0))))</f>
        <v>0</v>
      </c>
      <c r="AD268" s="69"/>
      <c r="AE268" s="69"/>
      <c r="AF268" t="str">
        <f>IF(AD268="Monthly",Table3[[#This Row],[Assessed Term]]*12,IF(AD268="quarterly",Table3[[#This Row],[Assessed Term]]*4,IF(AD268="annually",Table3[[#This Row],[Assessed Term]]*1,IF(AD268="weekly",Table3[[#This Row],[Assessed Term]]*52,IF(AD268="semiannually",Table3[[#This Row],[Assessed Term]]*2," ")))))</f>
        <v xml:space="preserve"> </v>
      </c>
      <c r="AG268" s="69"/>
      <c r="AH268" s="69"/>
      <c r="AI268" s="73"/>
      <c r="AJ268" s="73"/>
      <c r="AK268" s="73"/>
      <c r="AL268" s="69"/>
      <c r="AM268" s="69"/>
      <c r="AN268" s="120"/>
      <c r="AO268" s="76" t="b">
        <f>IF(K268 = "Lease",+PV(AN268/(AF268/Table3[[#This Row],[Assessed Term]]),AF268,-AI268,0,IF(AE268="Beginning",1,0)))</f>
        <v>0</v>
      </c>
      <c r="AP268" s="69"/>
      <c r="AQ268" s="76">
        <f t="shared" si="29"/>
        <v>0</v>
      </c>
      <c r="AR268" s="72"/>
    </row>
    <row r="269" spans="1:44">
      <c r="A269" s="69"/>
      <c r="B269" s="70"/>
      <c r="C269" s="69"/>
      <c r="D269" s="69"/>
      <c r="E269" s="69"/>
      <c r="F269" s="69"/>
      <c r="G269" s="69"/>
      <c r="H269" s="69"/>
      <c r="I269" s="69"/>
      <c r="J269" s="69"/>
      <c r="K269" t="str">
        <f t="shared" si="30"/>
        <v>Not a Lease</v>
      </c>
      <c r="L269" s="69"/>
      <c r="M269" s="69"/>
      <c r="N269" s="69"/>
      <c r="O269" s="69"/>
      <c r="P269" s="69"/>
      <c r="Q269" s="69"/>
      <c r="R269" s="69"/>
      <c r="S269" s="69"/>
      <c r="T269" s="69"/>
      <c r="U269" s="69"/>
      <c r="V269" s="69"/>
      <c r="W269" s="69"/>
      <c r="X269" s="69"/>
      <c r="Y269" s="69"/>
      <c r="Z269">
        <f t="shared" si="28"/>
        <v>0</v>
      </c>
      <c r="AA269">
        <f t="shared" si="31"/>
        <v>0</v>
      </c>
      <c r="AB269">
        <f t="shared" si="32"/>
        <v>0</v>
      </c>
      <c r="AC269">
        <f>+IF(Table3[[#This Row],[Do Both Parties have to agree for extension to occur?]]="Yes",0,IF(AND(W269="Yes",Q269="Yes"),IF(R269=X269,R269,MAX(R269,X269)),IF(AND(W269="Yes",OR(Q269="No",Q269="")),X269,IF(AND(OR(W269="No",W269=""),Q269="Yes"),R269,0))))</f>
        <v>0</v>
      </c>
      <c r="AD269" s="69"/>
      <c r="AE269" s="69"/>
      <c r="AF269" t="str">
        <f>IF(AD269="Monthly",Table3[[#This Row],[Assessed Term]]*12,IF(AD269="quarterly",Table3[[#This Row],[Assessed Term]]*4,IF(AD269="annually",Table3[[#This Row],[Assessed Term]]*1,IF(AD269="weekly",Table3[[#This Row],[Assessed Term]]*52,IF(AD269="semiannually",Table3[[#This Row],[Assessed Term]]*2," ")))))</f>
        <v xml:space="preserve"> </v>
      </c>
      <c r="AG269" s="69"/>
      <c r="AH269" s="69"/>
      <c r="AI269" s="73"/>
      <c r="AJ269" s="73"/>
      <c r="AK269" s="73"/>
      <c r="AL269" s="69"/>
      <c r="AM269" s="69"/>
      <c r="AN269" s="120"/>
      <c r="AO269" s="76" t="b">
        <f>IF(K269 = "Lease",+PV(AN269/(AF269/Table3[[#This Row],[Assessed Term]]),AF269,-AI269,0,IF(AE269="Beginning",1,0)))</f>
        <v>0</v>
      </c>
      <c r="AP269" s="69"/>
      <c r="AQ269" s="76">
        <f t="shared" si="29"/>
        <v>0</v>
      </c>
      <c r="AR269" s="72"/>
    </row>
    <row r="270" spans="1:44">
      <c r="A270" s="69"/>
      <c r="B270" s="70"/>
      <c r="C270" s="69"/>
      <c r="D270" s="69"/>
      <c r="E270" s="69"/>
      <c r="F270" s="69"/>
      <c r="G270" s="69"/>
      <c r="H270" s="69"/>
      <c r="I270" s="69"/>
      <c r="J270" s="69"/>
      <c r="K270" t="str">
        <f t="shared" si="30"/>
        <v>Not a Lease</v>
      </c>
      <c r="L270" s="69"/>
      <c r="M270" s="69"/>
      <c r="N270" s="69"/>
      <c r="O270" s="69"/>
      <c r="P270" s="69"/>
      <c r="Q270" s="69"/>
      <c r="R270" s="69"/>
      <c r="S270" s="69"/>
      <c r="T270" s="69"/>
      <c r="U270" s="69"/>
      <c r="V270" s="69"/>
      <c r="W270" s="69"/>
      <c r="X270" s="69"/>
      <c r="Y270" s="69"/>
      <c r="Z270">
        <f t="shared" si="28"/>
        <v>0</v>
      </c>
      <c r="AA270">
        <f t="shared" si="31"/>
        <v>0</v>
      </c>
      <c r="AB270">
        <f t="shared" si="32"/>
        <v>0</v>
      </c>
      <c r="AC270">
        <f>+IF(Table3[[#This Row],[Do Both Parties have to agree for extension to occur?]]="Yes",0,IF(AND(W270="Yes",Q270="Yes"),IF(R270=X270,R270,MAX(R270,X270)),IF(AND(W270="Yes",OR(Q270="No",Q270="")),X270,IF(AND(OR(W270="No",W270=""),Q270="Yes"),R270,0))))</f>
        <v>0</v>
      </c>
      <c r="AD270" s="69"/>
      <c r="AE270" s="69"/>
      <c r="AF270" t="str">
        <f>IF(AD270="Monthly",Table3[[#This Row],[Assessed Term]]*12,IF(AD270="quarterly",Table3[[#This Row],[Assessed Term]]*4,IF(AD270="annually",Table3[[#This Row],[Assessed Term]]*1,IF(AD270="weekly",Table3[[#This Row],[Assessed Term]]*52,IF(AD270="semiannually",Table3[[#This Row],[Assessed Term]]*2," ")))))</f>
        <v xml:space="preserve"> </v>
      </c>
      <c r="AG270" s="69"/>
      <c r="AH270" s="69"/>
      <c r="AI270" s="73"/>
      <c r="AJ270" s="73"/>
      <c r="AK270" s="73"/>
      <c r="AL270" s="69"/>
      <c r="AM270" s="69"/>
      <c r="AN270" s="120"/>
      <c r="AO270" s="76" t="b">
        <f>IF(K270 = "Lease",+PV(AN270/(AF270/Table3[[#This Row],[Assessed Term]]),AF270,-AI270,0,IF(AE270="Beginning",1,0)))</f>
        <v>0</v>
      </c>
      <c r="AP270" s="69"/>
      <c r="AQ270" s="76">
        <f t="shared" si="29"/>
        <v>0</v>
      </c>
      <c r="AR270" s="72"/>
    </row>
    <row r="271" spans="1:44">
      <c r="A271" s="69"/>
      <c r="B271" s="70"/>
      <c r="C271" s="69"/>
      <c r="D271" s="69"/>
      <c r="E271" s="69"/>
      <c r="F271" s="69"/>
      <c r="G271" s="69"/>
      <c r="H271" s="69"/>
      <c r="I271" s="69"/>
      <c r="J271" s="69"/>
      <c r="K271" t="str">
        <f t="shared" si="30"/>
        <v>Not a Lease</v>
      </c>
      <c r="L271" s="69"/>
      <c r="M271" s="69"/>
      <c r="N271" s="69"/>
      <c r="O271" s="69"/>
      <c r="P271" s="69"/>
      <c r="Q271" s="69"/>
      <c r="R271" s="69"/>
      <c r="S271" s="69"/>
      <c r="T271" s="69"/>
      <c r="U271" s="69"/>
      <c r="V271" s="69"/>
      <c r="W271" s="69"/>
      <c r="X271" s="69"/>
      <c r="Y271" s="69"/>
      <c r="Z271">
        <f t="shared" si="28"/>
        <v>0</v>
      </c>
      <c r="AA271">
        <f t="shared" si="31"/>
        <v>0</v>
      </c>
      <c r="AB271">
        <f t="shared" si="32"/>
        <v>0</v>
      </c>
      <c r="AC271">
        <f>+IF(Table3[[#This Row],[Do Both Parties have to agree for extension to occur?]]="Yes",0,IF(AND(W271="Yes",Q271="Yes"),IF(R271=X271,R271,MAX(R271,X271)),IF(AND(W271="Yes",OR(Q271="No",Q271="")),X271,IF(AND(OR(W271="No",W271=""),Q271="Yes"),R271,0))))</f>
        <v>0</v>
      </c>
      <c r="AD271" s="69"/>
      <c r="AE271" s="69"/>
      <c r="AF271" t="str">
        <f>IF(AD271="Monthly",Table3[[#This Row],[Assessed Term]]*12,IF(AD271="quarterly",Table3[[#This Row],[Assessed Term]]*4,IF(AD271="annually",Table3[[#This Row],[Assessed Term]]*1,IF(AD271="weekly",Table3[[#This Row],[Assessed Term]]*52,IF(AD271="semiannually",Table3[[#This Row],[Assessed Term]]*2," ")))))</f>
        <v xml:space="preserve"> </v>
      </c>
      <c r="AG271" s="69"/>
      <c r="AH271" s="69"/>
      <c r="AI271" s="73"/>
      <c r="AJ271" s="73"/>
      <c r="AK271" s="73"/>
      <c r="AL271" s="69"/>
      <c r="AM271" s="69"/>
      <c r="AN271" s="120"/>
      <c r="AO271" s="76" t="b">
        <f>IF(K271 = "Lease",+PV(AN271/(AF271/Table3[[#This Row],[Assessed Term]]),AF271,-AI271,0,IF(AE271="Beginning",1,0)))</f>
        <v>0</v>
      </c>
      <c r="AP271" s="69"/>
      <c r="AQ271" s="76">
        <f t="shared" si="29"/>
        <v>0</v>
      </c>
      <c r="AR271" s="72"/>
    </row>
    <row r="272" spans="1:44">
      <c r="A272" s="69"/>
      <c r="B272" s="70"/>
      <c r="C272" s="69"/>
      <c r="D272" s="69"/>
      <c r="E272" s="69"/>
      <c r="F272" s="69"/>
      <c r="G272" s="69"/>
      <c r="H272" s="69"/>
      <c r="I272" s="69"/>
      <c r="J272" s="69"/>
      <c r="K272" t="str">
        <f t="shared" si="30"/>
        <v>Not a Lease</v>
      </c>
      <c r="L272" s="69"/>
      <c r="M272" s="69"/>
      <c r="N272" s="69"/>
      <c r="O272" s="69"/>
      <c r="P272" s="69"/>
      <c r="Q272" s="69"/>
      <c r="R272" s="69"/>
      <c r="S272" s="69"/>
      <c r="T272" s="69"/>
      <c r="U272" s="69"/>
      <c r="V272" s="69"/>
      <c r="W272" s="69"/>
      <c r="X272" s="69"/>
      <c r="Y272" s="69"/>
      <c r="Z272">
        <f t="shared" si="28"/>
        <v>0</v>
      </c>
      <c r="AA272">
        <f t="shared" si="31"/>
        <v>0</v>
      </c>
      <c r="AB272">
        <f t="shared" si="32"/>
        <v>0</v>
      </c>
      <c r="AC272">
        <f>+IF(Table3[[#This Row],[Do Both Parties have to agree for extension to occur?]]="Yes",0,IF(AND(W272="Yes",Q272="Yes"),IF(R272=X272,R272,MAX(R272,X272)),IF(AND(W272="Yes",OR(Q272="No",Q272="")),X272,IF(AND(OR(W272="No",W272=""),Q272="Yes"),R272,0))))</f>
        <v>0</v>
      </c>
      <c r="AD272" s="69"/>
      <c r="AE272" s="69"/>
      <c r="AF272" t="str">
        <f>IF(AD272="Monthly",Table3[[#This Row],[Assessed Term]]*12,IF(AD272="quarterly",Table3[[#This Row],[Assessed Term]]*4,IF(AD272="annually",Table3[[#This Row],[Assessed Term]]*1,IF(AD272="weekly",Table3[[#This Row],[Assessed Term]]*52,IF(AD272="semiannually",Table3[[#This Row],[Assessed Term]]*2," ")))))</f>
        <v xml:space="preserve"> </v>
      </c>
      <c r="AG272" s="69"/>
      <c r="AH272" s="69"/>
      <c r="AI272" s="73"/>
      <c r="AJ272" s="73"/>
      <c r="AK272" s="73"/>
      <c r="AL272" s="69"/>
      <c r="AM272" s="69"/>
      <c r="AN272" s="120"/>
      <c r="AO272" s="76" t="b">
        <f>IF(K272 = "Lease",+PV(AN272/(AF272/Table3[[#This Row],[Assessed Term]]),AF272,-AI272,0,IF(AE272="Beginning",1,0)))</f>
        <v>0</v>
      </c>
      <c r="AP272" s="69"/>
      <c r="AQ272" s="76">
        <f t="shared" si="29"/>
        <v>0</v>
      </c>
      <c r="AR272" s="72"/>
    </row>
    <row r="273" spans="1:44">
      <c r="A273" s="69"/>
      <c r="B273" s="70"/>
      <c r="C273" s="69"/>
      <c r="D273" s="69"/>
      <c r="E273" s="69"/>
      <c r="F273" s="69"/>
      <c r="G273" s="69"/>
      <c r="H273" s="69"/>
      <c r="I273" s="69"/>
      <c r="J273" s="69"/>
      <c r="K273" t="str">
        <f t="shared" si="30"/>
        <v>Not a Lease</v>
      </c>
      <c r="L273" s="69"/>
      <c r="M273" s="69"/>
      <c r="N273" s="69"/>
      <c r="O273" s="69"/>
      <c r="P273" s="69"/>
      <c r="Q273" s="69"/>
      <c r="R273" s="69"/>
      <c r="S273" s="69"/>
      <c r="T273" s="69"/>
      <c r="U273" s="69"/>
      <c r="V273" s="69"/>
      <c r="W273" s="69"/>
      <c r="X273" s="69"/>
      <c r="Y273" s="69"/>
      <c r="Z273">
        <f t="shared" si="28"/>
        <v>0</v>
      </c>
      <c r="AA273">
        <f t="shared" si="31"/>
        <v>0</v>
      </c>
      <c r="AB273">
        <f t="shared" si="32"/>
        <v>0</v>
      </c>
      <c r="AC273">
        <f>+IF(Table3[[#This Row],[Do Both Parties have to agree for extension to occur?]]="Yes",0,IF(AND(W273="Yes",Q273="Yes"),IF(R273=X273,R273,MAX(R273,X273)),IF(AND(W273="Yes",OR(Q273="No",Q273="")),X273,IF(AND(OR(W273="No",W273=""),Q273="Yes"),R273,0))))</f>
        <v>0</v>
      </c>
      <c r="AD273" s="69"/>
      <c r="AE273" s="69"/>
      <c r="AF273" t="str">
        <f>IF(AD273="Monthly",Table3[[#This Row],[Assessed Term]]*12,IF(AD273="quarterly",Table3[[#This Row],[Assessed Term]]*4,IF(AD273="annually",Table3[[#This Row],[Assessed Term]]*1,IF(AD273="weekly",Table3[[#This Row],[Assessed Term]]*52,IF(AD273="semiannually",Table3[[#This Row],[Assessed Term]]*2," ")))))</f>
        <v xml:space="preserve"> </v>
      </c>
      <c r="AG273" s="69"/>
      <c r="AH273" s="69"/>
      <c r="AI273" s="73"/>
      <c r="AJ273" s="73"/>
      <c r="AK273" s="73"/>
      <c r="AL273" s="69"/>
      <c r="AM273" s="69"/>
      <c r="AN273" s="120"/>
      <c r="AO273" s="76" t="b">
        <f>IF(K273 = "Lease",+PV(AN273/(AF273/Table3[[#This Row],[Assessed Term]]),AF273,-AI273,0,IF(AE273="Beginning",1,0)))</f>
        <v>0</v>
      </c>
      <c r="AP273" s="69"/>
      <c r="AQ273" s="76">
        <f t="shared" si="29"/>
        <v>0</v>
      </c>
      <c r="AR273" s="72"/>
    </row>
    <row r="274" spans="1:44">
      <c r="A274" s="69"/>
      <c r="B274" s="70"/>
      <c r="C274" s="69"/>
      <c r="D274" s="69"/>
      <c r="E274" s="69"/>
      <c r="F274" s="69"/>
      <c r="G274" s="69"/>
      <c r="H274" s="69"/>
      <c r="I274" s="69"/>
      <c r="J274" s="69"/>
      <c r="K274" t="str">
        <f t="shared" si="30"/>
        <v>Not a Lease</v>
      </c>
      <c r="L274" s="69"/>
      <c r="M274" s="69"/>
      <c r="N274" s="69"/>
      <c r="O274" s="69"/>
      <c r="P274" s="69"/>
      <c r="Q274" s="69"/>
      <c r="R274" s="69"/>
      <c r="S274" s="69"/>
      <c r="T274" s="69"/>
      <c r="U274" s="69"/>
      <c r="V274" s="69"/>
      <c r="W274" s="69"/>
      <c r="X274" s="69"/>
      <c r="Y274" s="69"/>
      <c r="Z274">
        <f t="shared" si="28"/>
        <v>0</v>
      </c>
      <c r="AA274">
        <f t="shared" si="31"/>
        <v>0</v>
      </c>
      <c r="AB274">
        <f t="shared" si="32"/>
        <v>0</v>
      </c>
      <c r="AC274">
        <f>+IF(Table3[[#This Row],[Do Both Parties have to agree for extension to occur?]]="Yes",0,IF(AND(W274="Yes",Q274="Yes"),IF(R274=X274,R274,MAX(R274,X274)),IF(AND(W274="Yes",OR(Q274="No",Q274="")),X274,IF(AND(OR(W274="No",W274=""),Q274="Yes"),R274,0))))</f>
        <v>0</v>
      </c>
      <c r="AD274" s="69"/>
      <c r="AE274" s="69"/>
      <c r="AF274" t="str">
        <f>IF(AD274="Monthly",Table3[[#This Row],[Assessed Term]]*12,IF(AD274="quarterly",Table3[[#This Row],[Assessed Term]]*4,IF(AD274="annually",Table3[[#This Row],[Assessed Term]]*1,IF(AD274="weekly",Table3[[#This Row],[Assessed Term]]*52,IF(AD274="semiannually",Table3[[#This Row],[Assessed Term]]*2," ")))))</f>
        <v xml:space="preserve"> </v>
      </c>
      <c r="AG274" s="69"/>
      <c r="AH274" s="69"/>
      <c r="AI274" s="73"/>
      <c r="AJ274" s="73"/>
      <c r="AK274" s="73"/>
      <c r="AL274" s="69"/>
      <c r="AM274" s="69"/>
      <c r="AN274" s="120"/>
      <c r="AO274" s="76" t="b">
        <f>IF(K274 = "Lease",+PV(AN274/(AF274/Table3[[#This Row],[Assessed Term]]),AF274,-AI274,0,IF(AE274="Beginning",1,0)))</f>
        <v>0</v>
      </c>
      <c r="AP274" s="69"/>
      <c r="AQ274" s="76">
        <f t="shared" si="29"/>
        <v>0</v>
      </c>
      <c r="AR274" s="72"/>
    </row>
    <row r="275" spans="1:44">
      <c r="A275" s="69"/>
      <c r="B275" s="70"/>
      <c r="C275" s="69"/>
      <c r="D275" s="69"/>
      <c r="E275" s="69"/>
      <c r="F275" s="69"/>
      <c r="G275" s="69"/>
      <c r="H275" s="69"/>
      <c r="I275" s="69"/>
      <c r="J275" s="69"/>
      <c r="K275" t="str">
        <f t="shared" si="30"/>
        <v>Not a Lease</v>
      </c>
      <c r="L275" s="69"/>
      <c r="M275" s="69"/>
      <c r="N275" s="69"/>
      <c r="O275" s="69"/>
      <c r="P275" s="69"/>
      <c r="Q275" s="69"/>
      <c r="R275" s="69"/>
      <c r="S275" s="69"/>
      <c r="T275" s="69"/>
      <c r="U275" s="69"/>
      <c r="V275" s="69"/>
      <c r="W275" s="69"/>
      <c r="X275" s="69"/>
      <c r="Y275" s="69"/>
      <c r="Z275">
        <f t="shared" si="28"/>
        <v>0</v>
      </c>
      <c r="AA275">
        <f t="shared" si="31"/>
        <v>0</v>
      </c>
      <c r="AB275">
        <f t="shared" si="32"/>
        <v>0</v>
      </c>
      <c r="AC275">
        <f>+IF(Table3[[#This Row],[Do Both Parties have to agree for extension to occur?]]="Yes",0,IF(AND(W275="Yes",Q275="Yes"),IF(R275=X275,R275,MAX(R275,X275)),IF(AND(W275="Yes",OR(Q275="No",Q275="")),X275,IF(AND(OR(W275="No",W275=""),Q275="Yes"),R275,0))))</f>
        <v>0</v>
      </c>
      <c r="AD275" s="69"/>
      <c r="AE275" s="69"/>
      <c r="AF275" t="str">
        <f>IF(AD275="Monthly",Table3[[#This Row],[Assessed Term]]*12,IF(AD275="quarterly",Table3[[#This Row],[Assessed Term]]*4,IF(AD275="annually",Table3[[#This Row],[Assessed Term]]*1,IF(AD275="weekly",Table3[[#This Row],[Assessed Term]]*52,IF(AD275="semiannually",Table3[[#This Row],[Assessed Term]]*2," ")))))</f>
        <v xml:space="preserve"> </v>
      </c>
      <c r="AG275" s="69"/>
      <c r="AH275" s="69"/>
      <c r="AI275" s="73"/>
      <c r="AJ275" s="73"/>
      <c r="AK275" s="73"/>
      <c r="AL275" s="69"/>
      <c r="AM275" s="69"/>
      <c r="AN275" s="120"/>
      <c r="AO275" s="76" t="b">
        <f>IF(K275 = "Lease",+PV(AN275/(AF275/Table3[[#This Row],[Assessed Term]]),AF275,-AI275,0,IF(AE275="Beginning",1,0)))</f>
        <v>0</v>
      </c>
      <c r="AP275" s="69"/>
      <c r="AQ275" s="76">
        <f t="shared" si="29"/>
        <v>0</v>
      </c>
      <c r="AR275" s="72"/>
    </row>
    <row r="276" spans="1:44">
      <c r="A276" s="69"/>
      <c r="B276" s="70"/>
      <c r="C276" s="69"/>
      <c r="D276" s="69"/>
      <c r="E276" s="69"/>
      <c r="F276" s="69"/>
      <c r="G276" s="69"/>
      <c r="H276" s="69"/>
      <c r="I276" s="69"/>
      <c r="J276" s="69"/>
      <c r="K276" t="str">
        <f t="shared" si="30"/>
        <v>Not a Lease</v>
      </c>
      <c r="L276" s="69"/>
      <c r="M276" s="69"/>
      <c r="N276" s="69"/>
      <c r="O276" s="69"/>
      <c r="P276" s="69"/>
      <c r="Q276" s="69"/>
      <c r="R276" s="69"/>
      <c r="S276" s="69"/>
      <c r="T276" s="69"/>
      <c r="U276" s="69"/>
      <c r="V276" s="69"/>
      <c r="W276" s="69"/>
      <c r="X276" s="69"/>
      <c r="Y276" s="69"/>
      <c r="Z276">
        <f t="shared" si="28"/>
        <v>0</v>
      </c>
      <c r="AA276">
        <f t="shared" si="31"/>
        <v>0</v>
      </c>
      <c r="AB276">
        <f t="shared" si="32"/>
        <v>0</v>
      </c>
      <c r="AC276">
        <f>+IF(Table3[[#This Row],[Do Both Parties have to agree for extension to occur?]]="Yes",0,IF(AND(W276="Yes",Q276="Yes"),IF(R276=X276,R276,MAX(R276,X276)),IF(AND(W276="Yes",OR(Q276="No",Q276="")),X276,IF(AND(OR(W276="No",W276=""),Q276="Yes"),R276,0))))</f>
        <v>0</v>
      </c>
      <c r="AD276" s="69"/>
      <c r="AE276" s="69"/>
      <c r="AF276" t="str">
        <f>IF(AD276="Monthly",Table3[[#This Row],[Assessed Term]]*12,IF(AD276="quarterly",Table3[[#This Row],[Assessed Term]]*4,IF(AD276="annually",Table3[[#This Row],[Assessed Term]]*1,IF(AD276="weekly",Table3[[#This Row],[Assessed Term]]*52,IF(AD276="semiannually",Table3[[#This Row],[Assessed Term]]*2," ")))))</f>
        <v xml:space="preserve"> </v>
      </c>
      <c r="AG276" s="69"/>
      <c r="AH276" s="69"/>
      <c r="AI276" s="73"/>
      <c r="AJ276" s="73"/>
      <c r="AK276" s="73"/>
      <c r="AL276" s="69"/>
      <c r="AM276" s="69"/>
      <c r="AN276" s="120"/>
      <c r="AO276" s="76" t="b">
        <f>IF(K276 = "Lease",+PV(AN276/(AF276/Table3[[#This Row],[Assessed Term]]),AF276,-AI276,0,IF(AE276="Beginning",1,0)))</f>
        <v>0</v>
      </c>
      <c r="AP276" s="69"/>
      <c r="AQ276" s="76">
        <f t="shared" si="29"/>
        <v>0</v>
      </c>
      <c r="AR276" s="72"/>
    </row>
    <row r="277" spans="1:44">
      <c r="A277" s="69"/>
      <c r="B277" s="70"/>
      <c r="C277" s="69"/>
      <c r="D277" s="69"/>
      <c r="E277" s="69"/>
      <c r="F277" s="69"/>
      <c r="G277" s="69"/>
      <c r="H277" s="69"/>
      <c r="I277" s="69"/>
      <c r="J277" s="69"/>
      <c r="K277" t="str">
        <f t="shared" si="30"/>
        <v>Not a Lease</v>
      </c>
      <c r="L277" s="69"/>
      <c r="M277" s="69"/>
      <c r="N277" s="69"/>
      <c r="O277" s="69"/>
      <c r="P277" s="69"/>
      <c r="Q277" s="69"/>
      <c r="R277" s="69"/>
      <c r="S277" s="69"/>
      <c r="T277" s="69"/>
      <c r="U277" s="69"/>
      <c r="V277" s="69"/>
      <c r="W277" s="69"/>
      <c r="X277" s="69"/>
      <c r="Y277" s="69"/>
      <c r="Z277">
        <f t="shared" si="28"/>
        <v>0</v>
      </c>
      <c r="AA277">
        <f t="shared" si="31"/>
        <v>0</v>
      </c>
      <c r="AB277">
        <f t="shared" si="32"/>
        <v>0</v>
      </c>
      <c r="AC277">
        <f>+IF(Table3[[#This Row],[Do Both Parties have to agree for extension to occur?]]="Yes",0,IF(AND(W277="Yes",Q277="Yes"),IF(R277=X277,R277,MAX(R277,X277)),IF(AND(W277="Yes",OR(Q277="No",Q277="")),X277,IF(AND(OR(W277="No",W277=""),Q277="Yes"),R277,0))))</f>
        <v>0</v>
      </c>
      <c r="AD277" s="69"/>
      <c r="AE277" s="69"/>
      <c r="AF277" t="str">
        <f>IF(AD277="Monthly",Table3[[#This Row],[Assessed Term]]*12,IF(AD277="quarterly",Table3[[#This Row],[Assessed Term]]*4,IF(AD277="annually",Table3[[#This Row],[Assessed Term]]*1,IF(AD277="weekly",Table3[[#This Row],[Assessed Term]]*52,IF(AD277="semiannually",Table3[[#This Row],[Assessed Term]]*2," ")))))</f>
        <v xml:space="preserve"> </v>
      </c>
      <c r="AG277" s="69"/>
      <c r="AH277" s="69"/>
      <c r="AI277" s="73"/>
      <c r="AJ277" s="73"/>
      <c r="AK277" s="73"/>
      <c r="AL277" s="69"/>
      <c r="AM277" s="69"/>
      <c r="AN277" s="120"/>
      <c r="AO277" s="76" t="b">
        <f>IF(K277 = "Lease",+PV(AN277/(AF277/Table3[[#This Row],[Assessed Term]]),AF277,-AI277,0,IF(AE277="Beginning",1,0)))</f>
        <v>0</v>
      </c>
      <c r="AP277" s="69"/>
      <c r="AQ277" s="76">
        <f t="shared" si="29"/>
        <v>0</v>
      </c>
      <c r="AR277" s="72"/>
    </row>
    <row r="278" spans="1:44">
      <c r="A278" s="69"/>
      <c r="B278" s="70"/>
      <c r="C278" s="69"/>
      <c r="D278" s="69"/>
      <c r="E278" s="69"/>
      <c r="F278" s="69"/>
      <c r="G278" s="69"/>
      <c r="H278" s="69"/>
      <c r="I278" s="69"/>
      <c r="J278" s="69"/>
      <c r="K278" t="str">
        <f t="shared" si="30"/>
        <v>Not a Lease</v>
      </c>
      <c r="L278" s="69"/>
      <c r="M278" s="69"/>
      <c r="N278" s="69"/>
      <c r="O278" s="69"/>
      <c r="P278" s="69"/>
      <c r="Q278" s="69"/>
      <c r="R278" s="69"/>
      <c r="S278" s="69"/>
      <c r="T278" s="69"/>
      <c r="U278" s="69"/>
      <c r="V278" s="69"/>
      <c r="W278" s="69"/>
      <c r="X278" s="69"/>
      <c r="Y278" s="69"/>
      <c r="Z278">
        <f t="shared" si="28"/>
        <v>0</v>
      </c>
      <c r="AA278">
        <f t="shared" si="31"/>
        <v>0</v>
      </c>
      <c r="AB278">
        <f t="shared" si="32"/>
        <v>0</v>
      </c>
      <c r="AC278">
        <f>+IF(Table3[[#This Row],[Do Both Parties have to agree for extension to occur?]]="Yes",0,IF(AND(W278="Yes",Q278="Yes"),IF(R278=X278,R278,MAX(R278,X278)),IF(AND(W278="Yes",OR(Q278="No",Q278="")),X278,IF(AND(OR(W278="No",W278=""),Q278="Yes"),R278,0))))</f>
        <v>0</v>
      </c>
      <c r="AD278" s="69"/>
      <c r="AE278" s="69"/>
      <c r="AF278" t="str">
        <f>IF(AD278="Monthly",Table3[[#This Row],[Assessed Term]]*12,IF(AD278="quarterly",Table3[[#This Row],[Assessed Term]]*4,IF(AD278="annually",Table3[[#This Row],[Assessed Term]]*1,IF(AD278="weekly",Table3[[#This Row],[Assessed Term]]*52,IF(AD278="semiannually",Table3[[#This Row],[Assessed Term]]*2," ")))))</f>
        <v xml:space="preserve"> </v>
      </c>
      <c r="AG278" s="69"/>
      <c r="AH278" s="69"/>
      <c r="AI278" s="73"/>
      <c r="AJ278" s="73"/>
      <c r="AK278" s="73"/>
      <c r="AL278" s="69"/>
      <c r="AM278" s="69"/>
      <c r="AN278" s="120"/>
      <c r="AO278" s="76" t="b">
        <f>IF(K278 = "Lease",+PV(AN278/(AF278/Table3[[#This Row],[Assessed Term]]),AF278,-AI278,0,IF(AE278="Beginning",1,0)))</f>
        <v>0</v>
      </c>
      <c r="AP278" s="69"/>
      <c r="AQ278" s="76">
        <f t="shared" si="29"/>
        <v>0</v>
      </c>
      <c r="AR278" s="72"/>
    </row>
    <row r="279" spans="1:44">
      <c r="A279" s="69"/>
      <c r="B279" s="70"/>
      <c r="C279" s="69"/>
      <c r="D279" s="69"/>
      <c r="E279" s="69"/>
      <c r="F279" s="69"/>
      <c r="G279" s="69"/>
      <c r="H279" s="69"/>
      <c r="I279" s="69"/>
      <c r="J279" s="69"/>
      <c r="K279" t="str">
        <f t="shared" si="30"/>
        <v>Not a Lease</v>
      </c>
      <c r="L279" s="69"/>
      <c r="M279" s="69"/>
      <c r="N279" s="69"/>
      <c r="O279" s="69"/>
      <c r="P279" s="69"/>
      <c r="Q279" s="69"/>
      <c r="R279" s="69"/>
      <c r="S279" s="69"/>
      <c r="T279" s="69"/>
      <c r="U279" s="69"/>
      <c r="V279" s="69"/>
      <c r="W279" s="69"/>
      <c r="X279" s="69"/>
      <c r="Y279" s="69"/>
      <c r="Z279">
        <f t="shared" si="28"/>
        <v>0</v>
      </c>
      <c r="AA279">
        <f t="shared" si="31"/>
        <v>0</v>
      </c>
      <c r="AB279">
        <f t="shared" si="32"/>
        <v>0</v>
      </c>
      <c r="AC279">
        <f>+IF(Table3[[#This Row],[Do Both Parties have to agree for extension to occur?]]="Yes",0,IF(AND(W279="Yes",Q279="Yes"),IF(R279=X279,R279,MAX(R279,X279)),IF(AND(W279="Yes",OR(Q279="No",Q279="")),X279,IF(AND(OR(W279="No",W279=""),Q279="Yes"),R279,0))))</f>
        <v>0</v>
      </c>
      <c r="AD279" s="69"/>
      <c r="AE279" s="69"/>
      <c r="AF279" t="str">
        <f>IF(AD279="Monthly",Table3[[#This Row],[Assessed Term]]*12,IF(AD279="quarterly",Table3[[#This Row],[Assessed Term]]*4,IF(AD279="annually",Table3[[#This Row],[Assessed Term]]*1,IF(AD279="weekly",Table3[[#This Row],[Assessed Term]]*52,IF(AD279="semiannually",Table3[[#This Row],[Assessed Term]]*2," ")))))</f>
        <v xml:space="preserve"> </v>
      </c>
      <c r="AG279" s="69"/>
      <c r="AH279" s="69"/>
      <c r="AI279" s="73"/>
      <c r="AJ279" s="73"/>
      <c r="AK279" s="73"/>
      <c r="AL279" s="69"/>
      <c r="AM279" s="69"/>
      <c r="AN279" s="120"/>
      <c r="AO279" s="76" t="b">
        <f>IF(K279 = "Lease",+PV(AN279/(AF279/Table3[[#This Row],[Assessed Term]]),AF279,-AI279,0,IF(AE279="Beginning",1,0)))</f>
        <v>0</v>
      </c>
      <c r="AP279" s="69"/>
      <c r="AQ279" s="76">
        <f t="shared" si="29"/>
        <v>0</v>
      </c>
      <c r="AR279" s="72"/>
    </row>
    <row r="280" spans="1:44">
      <c r="A280" s="69"/>
      <c r="B280" s="70"/>
      <c r="C280" s="69"/>
      <c r="D280" s="69"/>
      <c r="E280" s="69"/>
      <c r="F280" s="69"/>
      <c r="G280" s="69"/>
      <c r="H280" s="69"/>
      <c r="I280" s="69"/>
      <c r="J280" s="69"/>
      <c r="K280" t="str">
        <f t="shared" si="30"/>
        <v>Not a Lease</v>
      </c>
      <c r="L280" s="69"/>
      <c r="M280" s="69"/>
      <c r="N280" s="69"/>
      <c r="O280" s="69"/>
      <c r="P280" s="69"/>
      <c r="Q280" s="69"/>
      <c r="R280" s="69"/>
      <c r="S280" s="69"/>
      <c r="T280" s="69"/>
      <c r="U280" s="69"/>
      <c r="V280" s="69"/>
      <c r="W280" s="69"/>
      <c r="X280" s="69"/>
      <c r="Y280" s="69"/>
      <c r="Z280">
        <f t="shared" si="28"/>
        <v>0</v>
      </c>
      <c r="AA280">
        <f t="shared" si="31"/>
        <v>0</v>
      </c>
      <c r="AB280">
        <f t="shared" si="32"/>
        <v>0</v>
      </c>
      <c r="AC280">
        <f>+IF(Table3[[#This Row],[Do Both Parties have to agree for extension to occur?]]="Yes",0,IF(AND(W280="Yes",Q280="Yes"),IF(R280=X280,R280,MAX(R280,X280)),IF(AND(W280="Yes",OR(Q280="No",Q280="")),X280,IF(AND(OR(W280="No",W280=""),Q280="Yes"),R280,0))))</f>
        <v>0</v>
      </c>
      <c r="AD280" s="69"/>
      <c r="AE280" s="69"/>
      <c r="AF280" t="str">
        <f>IF(AD280="Monthly",Table3[[#This Row],[Assessed Term]]*12,IF(AD280="quarterly",Table3[[#This Row],[Assessed Term]]*4,IF(AD280="annually",Table3[[#This Row],[Assessed Term]]*1,IF(AD280="weekly",Table3[[#This Row],[Assessed Term]]*52,IF(AD280="semiannually",Table3[[#This Row],[Assessed Term]]*2," ")))))</f>
        <v xml:space="preserve"> </v>
      </c>
      <c r="AG280" s="69"/>
      <c r="AH280" s="69"/>
      <c r="AI280" s="73"/>
      <c r="AJ280" s="73"/>
      <c r="AK280" s="73"/>
      <c r="AL280" s="69"/>
      <c r="AM280" s="69"/>
      <c r="AN280" s="120"/>
      <c r="AO280" s="76" t="b">
        <f>IF(K280 = "Lease",+PV(AN280/(AF280/Table3[[#This Row],[Assessed Term]]),AF280,-AI280,0,IF(AE280="Beginning",1,0)))</f>
        <v>0</v>
      </c>
      <c r="AP280" s="69"/>
      <c r="AQ280" s="76">
        <f t="shared" si="29"/>
        <v>0</v>
      </c>
      <c r="AR280" s="72"/>
    </row>
    <row r="281" spans="1:44">
      <c r="A281" s="69"/>
      <c r="B281" s="70"/>
      <c r="C281" s="69"/>
      <c r="D281" s="69"/>
      <c r="E281" s="69"/>
      <c r="F281" s="69"/>
      <c r="G281" s="69"/>
      <c r="H281" s="69"/>
      <c r="I281" s="69"/>
      <c r="J281" s="69"/>
      <c r="K281" t="str">
        <f t="shared" si="30"/>
        <v>Not a Lease</v>
      </c>
      <c r="L281" s="69"/>
      <c r="M281" s="69"/>
      <c r="N281" s="69"/>
      <c r="O281" s="69"/>
      <c r="P281" s="69"/>
      <c r="Q281" s="69"/>
      <c r="R281" s="69"/>
      <c r="S281" s="69"/>
      <c r="T281" s="69"/>
      <c r="U281" s="69"/>
      <c r="V281" s="69"/>
      <c r="W281" s="69"/>
      <c r="X281" s="69"/>
      <c r="Y281" s="69"/>
      <c r="Z281">
        <f t="shared" si="28"/>
        <v>0</v>
      </c>
      <c r="AA281">
        <f t="shared" si="31"/>
        <v>0</v>
      </c>
      <c r="AB281">
        <f t="shared" si="32"/>
        <v>0</v>
      </c>
      <c r="AC281">
        <f>+IF(Table3[[#This Row],[Do Both Parties have to agree for extension to occur?]]="Yes",0,IF(AND(W281="Yes",Q281="Yes"),IF(R281=X281,R281,MAX(R281,X281)),IF(AND(W281="Yes",OR(Q281="No",Q281="")),X281,IF(AND(OR(W281="No",W281=""),Q281="Yes"),R281,0))))</f>
        <v>0</v>
      </c>
      <c r="AD281" s="69"/>
      <c r="AE281" s="69"/>
      <c r="AF281" t="str">
        <f>IF(AD281="Monthly",Table3[[#This Row],[Assessed Term]]*12,IF(AD281="quarterly",Table3[[#This Row],[Assessed Term]]*4,IF(AD281="annually",Table3[[#This Row],[Assessed Term]]*1,IF(AD281="weekly",Table3[[#This Row],[Assessed Term]]*52,IF(AD281="semiannually",Table3[[#This Row],[Assessed Term]]*2," ")))))</f>
        <v xml:space="preserve"> </v>
      </c>
      <c r="AG281" s="69"/>
      <c r="AH281" s="69"/>
      <c r="AI281" s="73"/>
      <c r="AJ281" s="73"/>
      <c r="AK281" s="73"/>
      <c r="AL281" s="69"/>
      <c r="AM281" s="69"/>
      <c r="AN281" s="120"/>
      <c r="AO281" s="76" t="b">
        <f>IF(K281 = "Lease",+PV(AN281/(AF281/Table3[[#This Row],[Assessed Term]]),AF281,-AI281,0,IF(AE281="Beginning",1,0)))</f>
        <v>0</v>
      </c>
      <c r="AP281" s="69"/>
      <c r="AQ281" s="76">
        <f t="shared" si="29"/>
        <v>0</v>
      </c>
      <c r="AR281" s="72"/>
    </row>
    <row r="282" spans="1:44">
      <c r="A282" s="69"/>
      <c r="B282" s="70"/>
      <c r="C282" s="69"/>
      <c r="D282" s="69"/>
      <c r="E282" s="69"/>
      <c r="F282" s="69"/>
      <c r="G282" s="69"/>
      <c r="H282" s="69"/>
      <c r="I282" s="69"/>
      <c r="J282" s="69"/>
      <c r="K282" t="str">
        <f t="shared" si="30"/>
        <v>Not a Lease</v>
      </c>
      <c r="L282" s="69"/>
      <c r="M282" s="69"/>
      <c r="N282" s="69"/>
      <c r="O282" s="69"/>
      <c r="P282" s="69"/>
      <c r="Q282" s="69"/>
      <c r="R282" s="69"/>
      <c r="S282" s="69"/>
      <c r="T282" s="69"/>
      <c r="U282" s="69"/>
      <c r="V282" s="69"/>
      <c r="W282" s="69"/>
      <c r="X282" s="69"/>
      <c r="Y282" s="69"/>
      <c r="Z282">
        <f t="shared" si="28"/>
        <v>0</v>
      </c>
      <c r="AA282">
        <f t="shared" si="31"/>
        <v>0</v>
      </c>
      <c r="AB282">
        <f t="shared" si="32"/>
        <v>0</v>
      </c>
      <c r="AC282">
        <f>+IF(Table3[[#This Row],[Do Both Parties have to agree for extension to occur?]]="Yes",0,IF(AND(W282="Yes",Q282="Yes"),IF(R282=X282,R282,MAX(R282,X282)),IF(AND(W282="Yes",OR(Q282="No",Q282="")),X282,IF(AND(OR(W282="No",W282=""),Q282="Yes"),R282,0))))</f>
        <v>0</v>
      </c>
      <c r="AD282" s="69"/>
      <c r="AE282" s="69"/>
      <c r="AF282" t="str">
        <f>IF(AD282="Monthly",Table3[[#This Row],[Assessed Term]]*12,IF(AD282="quarterly",Table3[[#This Row],[Assessed Term]]*4,IF(AD282="annually",Table3[[#This Row],[Assessed Term]]*1,IF(AD282="weekly",Table3[[#This Row],[Assessed Term]]*52,IF(AD282="semiannually",Table3[[#This Row],[Assessed Term]]*2," ")))))</f>
        <v xml:space="preserve"> </v>
      </c>
      <c r="AG282" s="69"/>
      <c r="AH282" s="69"/>
      <c r="AI282" s="73"/>
      <c r="AJ282" s="73"/>
      <c r="AK282" s="73"/>
      <c r="AL282" s="69"/>
      <c r="AM282" s="69"/>
      <c r="AN282" s="120"/>
      <c r="AO282" s="76" t="b">
        <f>IF(K282 = "Lease",+PV(AN282/(AF282/Table3[[#This Row],[Assessed Term]]),AF282,-AI282,0,IF(AE282="Beginning",1,0)))</f>
        <v>0</v>
      </c>
      <c r="AP282" s="69"/>
      <c r="AQ282" s="76">
        <f t="shared" si="29"/>
        <v>0</v>
      </c>
      <c r="AR282" s="72"/>
    </row>
    <row r="283" spans="1:44">
      <c r="A283" s="69"/>
      <c r="B283" s="70"/>
      <c r="C283" s="69"/>
      <c r="D283" s="69"/>
      <c r="E283" s="69"/>
      <c r="F283" s="69"/>
      <c r="G283" s="69"/>
      <c r="H283" s="69"/>
      <c r="I283" s="69"/>
      <c r="J283" s="69"/>
      <c r="K283" t="str">
        <f t="shared" si="30"/>
        <v>Not a Lease</v>
      </c>
      <c r="L283" s="69"/>
      <c r="M283" s="69"/>
      <c r="N283" s="69"/>
      <c r="O283" s="69"/>
      <c r="P283" s="69"/>
      <c r="Q283" s="69"/>
      <c r="R283" s="69"/>
      <c r="S283" s="69"/>
      <c r="T283" s="69"/>
      <c r="U283" s="69"/>
      <c r="V283" s="69"/>
      <c r="W283" s="69"/>
      <c r="X283" s="69"/>
      <c r="Y283" s="69"/>
      <c r="Z283">
        <f t="shared" si="28"/>
        <v>0</v>
      </c>
      <c r="AA283">
        <f t="shared" si="31"/>
        <v>0</v>
      </c>
      <c r="AB283">
        <f t="shared" si="32"/>
        <v>0</v>
      </c>
      <c r="AC283">
        <f>+IF(Table3[[#This Row],[Do Both Parties have to agree for extension to occur?]]="Yes",0,IF(AND(W283="Yes",Q283="Yes"),IF(R283=X283,R283,MAX(R283,X283)),IF(AND(W283="Yes",OR(Q283="No",Q283="")),X283,IF(AND(OR(W283="No",W283=""),Q283="Yes"),R283,0))))</f>
        <v>0</v>
      </c>
      <c r="AD283" s="69"/>
      <c r="AE283" s="69"/>
      <c r="AF283" t="str">
        <f>IF(AD283="Monthly",Table3[[#This Row],[Assessed Term]]*12,IF(AD283="quarterly",Table3[[#This Row],[Assessed Term]]*4,IF(AD283="annually",Table3[[#This Row],[Assessed Term]]*1,IF(AD283="weekly",Table3[[#This Row],[Assessed Term]]*52,IF(AD283="semiannually",Table3[[#This Row],[Assessed Term]]*2," ")))))</f>
        <v xml:space="preserve"> </v>
      </c>
      <c r="AG283" s="69"/>
      <c r="AH283" s="69"/>
      <c r="AI283" s="73"/>
      <c r="AJ283" s="73"/>
      <c r="AK283" s="73"/>
      <c r="AL283" s="69"/>
      <c r="AM283" s="69"/>
      <c r="AN283" s="120"/>
      <c r="AO283" s="76" t="b">
        <f>IF(K283 = "Lease",+PV(AN283/(AF283/Table3[[#This Row],[Assessed Term]]),AF283,-AI283,0,IF(AE283="Beginning",1,0)))</f>
        <v>0</v>
      </c>
      <c r="AP283" s="69"/>
      <c r="AQ283" s="76">
        <f t="shared" si="29"/>
        <v>0</v>
      </c>
      <c r="AR283" s="72"/>
    </row>
    <row r="284" spans="1:44">
      <c r="A284" s="69"/>
      <c r="B284" s="70"/>
      <c r="C284" s="69"/>
      <c r="D284" s="69"/>
      <c r="E284" s="69"/>
      <c r="F284" s="69"/>
      <c r="G284" s="69"/>
      <c r="H284" s="69"/>
      <c r="I284" s="69"/>
      <c r="J284" s="69"/>
      <c r="K284" t="str">
        <f t="shared" si="30"/>
        <v>Not a Lease</v>
      </c>
      <c r="L284" s="69"/>
      <c r="M284" s="69"/>
      <c r="N284" s="69"/>
      <c r="O284" s="69"/>
      <c r="P284" s="69"/>
      <c r="Q284" s="69"/>
      <c r="R284" s="69"/>
      <c r="S284" s="69"/>
      <c r="T284" s="69"/>
      <c r="U284" s="69"/>
      <c r="V284" s="69"/>
      <c r="W284" s="69"/>
      <c r="X284" s="69"/>
      <c r="Y284" s="69"/>
      <c r="Z284">
        <f t="shared" si="28"/>
        <v>0</v>
      </c>
      <c r="AA284">
        <f t="shared" si="31"/>
        <v>0</v>
      </c>
      <c r="AB284">
        <f t="shared" si="32"/>
        <v>0</v>
      </c>
      <c r="AC284">
        <f>+IF(Table3[[#This Row],[Do Both Parties have to agree for extension to occur?]]="Yes",0,IF(AND(W284="Yes",Q284="Yes"),IF(R284=X284,R284,MAX(R284,X284)),IF(AND(W284="Yes",OR(Q284="No",Q284="")),X284,IF(AND(OR(W284="No",W284=""),Q284="Yes"),R284,0))))</f>
        <v>0</v>
      </c>
      <c r="AD284" s="69"/>
      <c r="AE284" s="69"/>
      <c r="AF284" t="str">
        <f>IF(AD284="Monthly",Table3[[#This Row],[Assessed Term]]*12,IF(AD284="quarterly",Table3[[#This Row],[Assessed Term]]*4,IF(AD284="annually",Table3[[#This Row],[Assessed Term]]*1,IF(AD284="weekly",Table3[[#This Row],[Assessed Term]]*52,IF(AD284="semiannually",Table3[[#This Row],[Assessed Term]]*2," ")))))</f>
        <v xml:space="preserve"> </v>
      </c>
      <c r="AG284" s="69"/>
      <c r="AH284" s="69"/>
      <c r="AI284" s="73"/>
      <c r="AJ284" s="73"/>
      <c r="AK284" s="73"/>
      <c r="AL284" s="69"/>
      <c r="AM284" s="69"/>
      <c r="AN284" s="120"/>
      <c r="AO284" s="76" t="b">
        <f>IF(K284 = "Lease",+PV(AN284/(AF284/Table3[[#This Row],[Assessed Term]]),AF284,-AI284,0,IF(AE284="Beginning",1,0)))</f>
        <v>0</v>
      </c>
      <c r="AP284" s="69"/>
      <c r="AQ284" s="76">
        <f t="shared" si="29"/>
        <v>0</v>
      </c>
      <c r="AR284" s="72"/>
    </row>
    <row r="285" spans="1:44">
      <c r="A285" s="69"/>
      <c r="B285" s="70"/>
      <c r="C285" s="69"/>
      <c r="D285" s="69"/>
      <c r="E285" s="69"/>
      <c r="F285" s="69"/>
      <c r="G285" s="69"/>
      <c r="H285" s="69"/>
      <c r="I285" s="69"/>
      <c r="J285" s="69"/>
      <c r="K285" t="str">
        <f t="shared" si="30"/>
        <v>Not a Lease</v>
      </c>
      <c r="L285" s="69"/>
      <c r="M285" s="69"/>
      <c r="N285" s="69"/>
      <c r="O285" s="69"/>
      <c r="P285" s="69"/>
      <c r="Q285" s="69"/>
      <c r="R285" s="69"/>
      <c r="S285" s="69"/>
      <c r="T285" s="69"/>
      <c r="U285" s="69"/>
      <c r="V285" s="69"/>
      <c r="W285" s="69"/>
      <c r="X285" s="69"/>
      <c r="Y285" s="69"/>
      <c r="Z285">
        <f t="shared" si="28"/>
        <v>0</v>
      </c>
      <c r="AA285">
        <f t="shared" si="31"/>
        <v>0</v>
      </c>
      <c r="AB285">
        <f t="shared" si="32"/>
        <v>0</v>
      </c>
      <c r="AC285">
        <f>+IF(Table3[[#This Row],[Do Both Parties have to agree for extension to occur?]]="Yes",0,IF(AND(W285="Yes",Q285="Yes"),IF(R285=X285,R285,MAX(R285,X285)),IF(AND(W285="Yes",OR(Q285="No",Q285="")),X285,IF(AND(OR(W285="No",W285=""),Q285="Yes"),R285,0))))</f>
        <v>0</v>
      </c>
      <c r="AD285" s="69"/>
      <c r="AE285" s="69"/>
      <c r="AF285" t="str">
        <f>IF(AD285="Monthly",Table3[[#This Row],[Assessed Term]]*12,IF(AD285="quarterly",Table3[[#This Row],[Assessed Term]]*4,IF(AD285="annually",Table3[[#This Row],[Assessed Term]]*1,IF(AD285="weekly",Table3[[#This Row],[Assessed Term]]*52,IF(AD285="semiannually",Table3[[#This Row],[Assessed Term]]*2," ")))))</f>
        <v xml:space="preserve"> </v>
      </c>
      <c r="AG285" s="69"/>
      <c r="AH285" s="69"/>
      <c r="AI285" s="73"/>
      <c r="AJ285" s="73"/>
      <c r="AK285" s="73"/>
      <c r="AL285" s="69"/>
      <c r="AM285" s="69"/>
      <c r="AN285" s="120"/>
      <c r="AO285" s="76" t="b">
        <f>IF(K285 = "Lease",+PV(AN285/(AF285/Table3[[#This Row],[Assessed Term]]),AF285,-AI285,0,IF(AE285="Beginning",1,0)))</f>
        <v>0</v>
      </c>
      <c r="AP285" s="69"/>
      <c r="AQ285" s="76">
        <f t="shared" si="29"/>
        <v>0</v>
      </c>
      <c r="AR285" s="72"/>
    </row>
    <row r="286" spans="1:44">
      <c r="A286" s="69"/>
      <c r="B286" s="70"/>
      <c r="C286" s="69"/>
      <c r="D286" s="69"/>
      <c r="E286" s="69"/>
      <c r="F286" s="69"/>
      <c r="G286" s="69"/>
      <c r="H286" s="69"/>
      <c r="I286" s="69"/>
      <c r="J286" s="69"/>
      <c r="K286" t="str">
        <f t="shared" si="30"/>
        <v>Not a Lease</v>
      </c>
      <c r="L286" s="69"/>
      <c r="M286" s="69"/>
      <c r="N286" s="69"/>
      <c r="O286" s="69"/>
      <c r="P286" s="69"/>
      <c r="Q286" s="69"/>
      <c r="R286" s="69"/>
      <c r="S286" s="69"/>
      <c r="T286" s="69"/>
      <c r="U286" s="69"/>
      <c r="V286" s="69"/>
      <c r="W286" s="69"/>
      <c r="X286" s="69"/>
      <c r="Y286" s="69"/>
      <c r="Z286">
        <f t="shared" si="28"/>
        <v>0</v>
      </c>
      <c r="AA286">
        <f t="shared" si="31"/>
        <v>0</v>
      </c>
      <c r="AB286">
        <f t="shared" si="32"/>
        <v>0</v>
      </c>
      <c r="AC286">
        <f>+IF(Table3[[#This Row],[Do Both Parties have to agree for extension to occur?]]="Yes",0,IF(AND(W286="Yes",Q286="Yes"),IF(R286=X286,R286,MAX(R286,X286)),IF(AND(W286="Yes",OR(Q286="No",Q286="")),X286,IF(AND(OR(W286="No",W286=""),Q286="Yes"),R286,0))))</f>
        <v>0</v>
      </c>
      <c r="AD286" s="69"/>
      <c r="AE286" s="69"/>
      <c r="AF286" t="str">
        <f>IF(AD286="Monthly",Table3[[#This Row],[Assessed Term]]*12,IF(AD286="quarterly",Table3[[#This Row],[Assessed Term]]*4,IF(AD286="annually",Table3[[#This Row],[Assessed Term]]*1,IF(AD286="weekly",Table3[[#This Row],[Assessed Term]]*52,IF(AD286="semiannually",Table3[[#This Row],[Assessed Term]]*2," ")))))</f>
        <v xml:space="preserve"> </v>
      </c>
      <c r="AG286" s="69"/>
      <c r="AH286" s="69"/>
      <c r="AI286" s="73"/>
      <c r="AJ286" s="73"/>
      <c r="AK286" s="73"/>
      <c r="AL286" s="69"/>
      <c r="AM286" s="69"/>
      <c r="AN286" s="120"/>
      <c r="AO286" s="76" t="b">
        <f>IF(K286 = "Lease",+PV(AN286/(AF286/Table3[[#This Row],[Assessed Term]]),AF286,-AI286,0,IF(AE286="Beginning",1,0)))</f>
        <v>0</v>
      </c>
      <c r="AP286" s="69"/>
      <c r="AQ286" s="76">
        <f t="shared" si="29"/>
        <v>0</v>
      </c>
      <c r="AR286" s="72"/>
    </row>
    <row r="287" spans="1:44">
      <c r="A287" s="69"/>
      <c r="B287" s="70"/>
      <c r="C287" s="69"/>
      <c r="D287" s="69"/>
      <c r="E287" s="69"/>
      <c r="F287" s="69"/>
      <c r="G287" s="69"/>
      <c r="H287" s="69"/>
      <c r="I287" s="69"/>
      <c r="J287" s="69"/>
      <c r="K287" t="str">
        <f t="shared" si="30"/>
        <v>Not a Lease</v>
      </c>
      <c r="L287" s="69"/>
      <c r="M287" s="69"/>
      <c r="N287" s="69"/>
      <c r="O287" s="69"/>
      <c r="P287" s="69"/>
      <c r="Q287" s="69"/>
      <c r="R287" s="69"/>
      <c r="S287" s="69"/>
      <c r="T287" s="69"/>
      <c r="U287" s="69"/>
      <c r="V287" s="69"/>
      <c r="W287" s="69"/>
      <c r="X287" s="69"/>
      <c r="Y287" s="69"/>
      <c r="Z287">
        <f t="shared" si="28"/>
        <v>0</v>
      </c>
      <c r="AA287">
        <f t="shared" si="31"/>
        <v>0</v>
      </c>
      <c r="AB287">
        <f t="shared" si="32"/>
        <v>0</v>
      </c>
      <c r="AC287">
        <f>+IF(Table3[[#This Row],[Do Both Parties have to agree for extension to occur?]]="Yes",0,IF(AND(W287="Yes",Q287="Yes"),IF(R287=X287,R287,MAX(R287,X287)),IF(AND(W287="Yes",OR(Q287="No",Q287="")),X287,IF(AND(OR(W287="No",W287=""),Q287="Yes"),R287,0))))</f>
        <v>0</v>
      </c>
      <c r="AD287" s="69"/>
      <c r="AE287" s="69"/>
      <c r="AF287" t="str">
        <f>IF(AD287="Monthly",Table3[[#This Row],[Assessed Term]]*12,IF(AD287="quarterly",Table3[[#This Row],[Assessed Term]]*4,IF(AD287="annually",Table3[[#This Row],[Assessed Term]]*1,IF(AD287="weekly",Table3[[#This Row],[Assessed Term]]*52,IF(AD287="semiannually",Table3[[#This Row],[Assessed Term]]*2," ")))))</f>
        <v xml:space="preserve"> </v>
      </c>
      <c r="AG287" s="69"/>
      <c r="AH287" s="69"/>
      <c r="AI287" s="73"/>
      <c r="AJ287" s="73"/>
      <c r="AK287" s="73"/>
      <c r="AL287" s="69"/>
      <c r="AM287" s="69"/>
      <c r="AN287" s="120"/>
      <c r="AO287" s="76" t="b">
        <f>IF(K287 = "Lease",+PV(AN287/(AF287/Table3[[#This Row],[Assessed Term]]),AF287,-AI287,0,IF(AE287="Beginning",1,0)))</f>
        <v>0</v>
      </c>
      <c r="AP287" s="69"/>
      <c r="AQ287" s="76">
        <f t="shared" si="29"/>
        <v>0</v>
      </c>
      <c r="AR287" s="72"/>
    </row>
    <row r="288" spans="1:44">
      <c r="A288" s="69"/>
      <c r="B288" s="70"/>
      <c r="C288" s="69"/>
      <c r="D288" s="69"/>
      <c r="E288" s="69"/>
      <c r="F288" s="69"/>
      <c r="G288" s="69"/>
      <c r="H288" s="69"/>
      <c r="I288" s="69"/>
      <c r="J288" s="69"/>
      <c r="K288" t="str">
        <f t="shared" si="30"/>
        <v>Not a Lease</v>
      </c>
      <c r="L288" s="69"/>
      <c r="M288" s="69"/>
      <c r="N288" s="69"/>
      <c r="O288" s="69"/>
      <c r="P288" s="69"/>
      <c r="Q288" s="69"/>
      <c r="R288" s="69"/>
      <c r="S288" s="69"/>
      <c r="T288" s="69"/>
      <c r="U288" s="69"/>
      <c r="V288" s="69"/>
      <c r="W288" s="69"/>
      <c r="X288" s="69"/>
      <c r="Y288" s="69"/>
      <c r="Z288">
        <f t="shared" si="28"/>
        <v>0</v>
      </c>
      <c r="AA288">
        <f t="shared" si="31"/>
        <v>0</v>
      </c>
      <c r="AB288">
        <f t="shared" si="32"/>
        <v>0</v>
      </c>
      <c r="AC288">
        <f>+IF(Table3[[#This Row],[Do Both Parties have to agree for extension to occur?]]="Yes",0,IF(AND(W288="Yes",Q288="Yes"),IF(R288=X288,R288,MAX(R288,X288)),IF(AND(W288="Yes",OR(Q288="No",Q288="")),X288,IF(AND(OR(W288="No",W288=""),Q288="Yes"),R288,0))))</f>
        <v>0</v>
      </c>
      <c r="AD288" s="69"/>
      <c r="AE288" s="69"/>
      <c r="AF288" t="str">
        <f>IF(AD288="Monthly",Table3[[#This Row],[Assessed Term]]*12,IF(AD288="quarterly",Table3[[#This Row],[Assessed Term]]*4,IF(AD288="annually",Table3[[#This Row],[Assessed Term]]*1,IF(AD288="weekly",Table3[[#This Row],[Assessed Term]]*52,IF(AD288="semiannually",Table3[[#This Row],[Assessed Term]]*2," ")))))</f>
        <v xml:space="preserve"> </v>
      </c>
      <c r="AG288" s="69"/>
      <c r="AH288" s="69"/>
      <c r="AI288" s="73"/>
      <c r="AJ288" s="73"/>
      <c r="AK288" s="73"/>
      <c r="AL288" s="69"/>
      <c r="AM288" s="69"/>
      <c r="AN288" s="120"/>
      <c r="AO288" s="76" t="b">
        <f>IF(K288 = "Lease",+PV(AN288/(AF288/Table3[[#This Row],[Assessed Term]]),AF288,-AI288,0,IF(AE288="Beginning",1,0)))</f>
        <v>0</v>
      </c>
      <c r="AP288" s="69"/>
      <c r="AQ288" s="76">
        <f t="shared" si="29"/>
        <v>0</v>
      </c>
      <c r="AR288" s="72"/>
    </row>
    <row r="289" spans="1:44">
      <c r="A289" s="69"/>
      <c r="B289" s="70"/>
      <c r="C289" s="69"/>
      <c r="D289" s="69"/>
      <c r="E289" s="69"/>
      <c r="F289" s="69"/>
      <c r="G289" s="69"/>
      <c r="H289" s="69"/>
      <c r="I289" s="69"/>
      <c r="J289" s="69"/>
      <c r="K289" t="str">
        <f t="shared" si="30"/>
        <v>Not a Lease</v>
      </c>
      <c r="L289" s="69"/>
      <c r="M289" s="69"/>
      <c r="N289" s="69"/>
      <c r="O289" s="69"/>
      <c r="P289" s="69"/>
      <c r="Q289" s="69"/>
      <c r="R289" s="69"/>
      <c r="S289" s="69"/>
      <c r="T289" s="69"/>
      <c r="U289" s="69"/>
      <c r="V289" s="69"/>
      <c r="W289" s="69"/>
      <c r="X289" s="69"/>
      <c r="Y289" s="69"/>
      <c r="Z289">
        <f t="shared" ref="Z289:Z352" si="33">+IF(AB289=0,AA289+AC289,AB289)</f>
        <v>0</v>
      </c>
      <c r="AA289">
        <f t="shared" si="31"/>
        <v>0</v>
      </c>
      <c r="AB289">
        <f t="shared" si="32"/>
        <v>0</v>
      </c>
      <c r="AC289">
        <f>+IF(Table3[[#This Row],[Do Both Parties have to agree for extension to occur?]]="Yes",0,IF(AND(W289="Yes",Q289="Yes"),IF(R289=X289,R289,MAX(R289,X289)),IF(AND(W289="Yes",OR(Q289="No",Q289="")),X289,IF(AND(OR(W289="No",W289=""),Q289="Yes"),R289,0))))</f>
        <v>0</v>
      </c>
      <c r="AD289" s="69"/>
      <c r="AE289" s="69"/>
      <c r="AF289" t="str">
        <f>IF(AD289="Monthly",Table3[[#This Row],[Assessed Term]]*12,IF(AD289="quarterly",Table3[[#This Row],[Assessed Term]]*4,IF(AD289="annually",Table3[[#This Row],[Assessed Term]]*1,IF(AD289="weekly",Table3[[#This Row],[Assessed Term]]*52,IF(AD289="semiannually",Table3[[#This Row],[Assessed Term]]*2," ")))))</f>
        <v xml:space="preserve"> </v>
      </c>
      <c r="AG289" s="69"/>
      <c r="AH289" s="69"/>
      <c r="AI289" s="73"/>
      <c r="AJ289" s="73"/>
      <c r="AK289" s="73"/>
      <c r="AL289" s="69"/>
      <c r="AM289" s="69"/>
      <c r="AN289" s="120"/>
      <c r="AO289" s="76" t="b">
        <f>IF(K289 = "Lease",+PV(AN289/(AF289/Table3[[#This Row],[Assessed Term]]),AF289,-AI289,0,IF(AE289="Beginning",1,0)))</f>
        <v>0</v>
      </c>
      <c r="AP289" s="69"/>
      <c r="AQ289" s="76">
        <f t="shared" ref="AQ289:AQ352" si="34">+IF(AP289 = "no",AO289,0)</f>
        <v>0</v>
      </c>
      <c r="AR289" s="72"/>
    </row>
    <row r="290" spans="1:44">
      <c r="A290" s="69"/>
      <c r="B290" s="70"/>
      <c r="C290" s="69"/>
      <c r="D290" s="69"/>
      <c r="E290" s="69"/>
      <c r="F290" s="69"/>
      <c r="G290" s="69"/>
      <c r="H290" s="69"/>
      <c r="I290" s="69"/>
      <c r="J290" s="69"/>
      <c r="K290" t="str">
        <f t="shared" si="30"/>
        <v>Not a Lease</v>
      </c>
      <c r="L290" s="69"/>
      <c r="M290" s="69"/>
      <c r="N290" s="69"/>
      <c r="O290" s="69"/>
      <c r="P290" s="69"/>
      <c r="Q290" s="69"/>
      <c r="R290" s="69"/>
      <c r="S290" s="69"/>
      <c r="T290" s="69"/>
      <c r="U290" s="69"/>
      <c r="V290" s="69"/>
      <c r="W290" s="69"/>
      <c r="X290" s="69"/>
      <c r="Y290" s="69"/>
      <c r="Z290">
        <f t="shared" si="33"/>
        <v>0</v>
      </c>
      <c r="AA290">
        <f t="shared" si="31"/>
        <v>0</v>
      </c>
      <c r="AB290">
        <f t="shared" si="32"/>
        <v>0</v>
      </c>
      <c r="AC290">
        <f>+IF(Table3[[#This Row],[Do Both Parties have to agree for extension to occur?]]="Yes",0,IF(AND(W290="Yes",Q290="Yes"),IF(R290=X290,R290,MAX(R290,X290)),IF(AND(W290="Yes",OR(Q290="No",Q290="")),X290,IF(AND(OR(W290="No",W290=""),Q290="Yes"),R290,0))))</f>
        <v>0</v>
      </c>
      <c r="AD290" s="69"/>
      <c r="AE290" s="69"/>
      <c r="AF290" t="str">
        <f>IF(AD290="Monthly",Table3[[#This Row],[Assessed Term]]*12,IF(AD290="quarterly",Table3[[#This Row],[Assessed Term]]*4,IF(AD290="annually",Table3[[#This Row],[Assessed Term]]*1,IF(AD290="weekly",Table3[[#This Row],[Assessed Term]]*52,IF(AD290="semiannually",Table3[[#This Row],[Assessed Term]]*2," ")))))</f>
        <v xml:space="preserve"> </v>
      </c>
      <c r="AG290" s="69"/>
      <c r="AH290" s="69"/>
      <c r="AI290" s="73"/>
      <c r="AJ290" s="73"/>
      <c r="AK290" s="73"/>
      <c r="AL290" s="69"/>
      <c r="AM290" s="69"/>
      <c r="AN290" s="120"/>
      <c r="AO290" s="76" t="b">
        <f>IF(K290 = "Lease",+PV(AN290/(AF290/Table3[[#This Row],[Assessed Term]]),AF290,-AI290,0,IF(AE290="Beginning",1,0)))</f>
        <v>0</v>
      </c>
      <c r="AP290" s="69"/>
      <c r="AQ290" s="76">
        <f t="shared" si="34"/>
        <v>0</v>
      </c>
      <c r="AR290" s="72"/>
    </row>
    <row r="291" spans="1:44">
      <c r="A291" s="69"/>
      <c r="B291" s="70"/>
      <c r="C291" s="69"/>
      <c r="D291" s="69"/>
      <c r="E291" s="69"/>
      <c r="F291" s="69"/>
      <c r="G291" s="69"/>
      <c r="H291" s="69"/>
      <c r="I291" s="69"/>
      <c r="J291" s="69"/>
      <c r="K291" t="str">
        <f t="shared" si="30"/>
        <v>Not a Lease</v>
      </c>
      <c r="L291" s="69"/>
      <c r="M291" s="69"/>
      <c r="N291" s="69"/>
      <c r="O291" s="69"/>
      <c r="P291" s="69"/>
      <c r="Q291" s="69"/>
      <c r="R291" s="69"/>
      <c r="S291" s="69"/>
      <c r="T291" s="69"/>
      <c r="U291" s="69"/>
      <c r="V291" s="69"/>
      <c r="W291" s="69"/>
      <c r="X291" s="69"/>
      <c r="Y291" s="69"/>
      <c r="Z291">
        <f t="shared" si="33"/>
        <v>0</v>
      </c>
      <c r="AA291">
        <f t="shared" si="31"/>
        <v>0</v>
      </c>
      <c r="AB291">
        <f t="shared" si="32"/>
        <v>0</v>
      </c>
      <c r="AC291">
        <f>+IF(Table3[[#This Row],[Do Both Parties have to agree for extension to occur?]]="Yes",0,IF(AND(W291="Yes",Q291="Yes"),IF(R291=X291,R291,MAX(R291,X291)),IF(AND(W291="Yes",OR(Q291="No",Q291="")),X291,IF(AND(OR(W291="No",W291=""),Q291="Yes"),R291,0))))</f>
        <v>0</v>
      </c>
      <c r="AD291" s="69"/>
      <c r="AE291" s="69"/>
      <c r="AF291" t="str">
        <f>IF(AD291="Monthly",Table3[[#This Row],[Assessed Term]]*12,IF(AD291="quarterly",Table3[[#This Row],[Assessed Term]]*4,IF(AD291="annually",Table3[[#This Row],[Assessed Term]]*1,IF(AD291="weekly",Table3[[#This Row],[Assessed Term]]*52,IF(AD291="semiannually",Table3[[#This Row],[Assessed Term]]*2," ")))))</f>
        <v xml:space="preserve"> </v>
      </c>
      <c r="AG291" s="69"/>
      <c r="AH291" s="69"/>
      <c r="AI291" s="73"/>
      <c r="AJ291" s="73"/>
      <c r="AK291" s="73"/>
      <c r="AL291" s="69"/>
      <c r="AM291" s="69"/>
      <c r="AN291" s="120"/>
      <c r="AO291" s="76" t="b">
        <f>IF(K291 = "Lease",+PV(AN291/(AF291/Table3[[#This Row],[Assessed Term]]),AF291,-AI291,0,IF(AE291="Beginning",1,0)))</f>
        <v>0</v>
      </c>
      <c r="AP291" s="69"/>
      <c r="AQ291" s="76">
        <f t="shared" si="34"/>
        <v>0</v>
      </c>
      <c r="AR291" s="72"/>
    </row>
    <row r="292" spans="1:44">
      <c r="A292" s="69"/>
      <c r="B292" s="70"/>
      <c r="C292" s="69"/>
      <c r="D292" s="69"/>
      <c r="E292" s="69"/>
      <c r="F292" s="69"/>
      <c r="G292" s="69"/>
      <c r="H292" s="69"/>
      <c r="I292" s="69"/>
      <c r="J292" s="69"/>
      <c r="K292" t="str">
        <f t="shared" si="30"/>
        <v>Not a Lease</v>
      </c>
      <c r="L292" s="69"/>
      <c r="M292" s="69"/>
      <c r="N292" s="69"/>
      <c r="O292" s="69"/>
      <c r="P292" s="69"/>
      <c r="Q292" s="69"/>
      <c r="R292" s="69"/>
      <c r="S292" s="69"/>
      <c r="T292" s="69"/>
      <c r="U292" s="69"/>
      <c r="V292" s="69"/>
      <c r="W292" s="69"/>
      <c r="X292" s="69"/>
      <c r="Y292" s="69"/>
      <c r="Z292">
        <f t="shared" si="33"/>
        <v>0</v>
      </c>
      <c r="AA292">
        <f t="shared" si="31"/>
        <v>0</v>
      </c>
      <c r="AB292">
        <f t="shared" si="32"/>
        <v>0</v>
      </c>
      <c r="AC292">
        <f>+IF(Table3[[#This Row],[Do Both Parties have to agree for extension to occur?]]="Yes",0,IF(AND(W292="Yes",Q292="Yes"),IF(R292=X292,R292,MAX(R292,X292)),IF(AND(W292="Yes",OR(Q292="No",Q292="")),X292,IF(AND(OR(W292="No",W292=""),Q292="Yes"),R292,0))))</f>
        <v>0</v>
      </c>
      <c r="AD292" s="69"/>
      <c r="AE292" s="69"/>
      <c r="AF292" t="str">
        <f>IF(AD292="Monthly",Table3[[#This Row],[Assessed Term]]*12,IF(AD292="quarterly",Table3[[#This Row],[Assessed Term]]*4,IF(AD292="annually",Table3[[#This Row],[Assessed Term]]*1,IF(AD292="weekly",Table3[[#This Row],[Assessed Term]]*52,IF(AD292="semiannually",Table3[[#This Row],[Assessed Term]]*2," ")))))</f>
        <v xml:space="preserve"> </v>
      </c>
      <c r="AG292" s="69"/>
      <c r="AH292" s="69"/>
      <c r="AI292" s="73"/>
      <c r="AJ292" s="73"/>
      <c r="AK292" s="73"/>
      <c r="AL292" s="69"/>
      <c r="AM292" s="69"/>
      <c r="AN292" s="120"/>
      <c r="AO292" s="76" t="b">
        <f>IF(K292 = "Lease",+PV(AN292/(AF292/Table3[[#This Row],[Assessed Term]]),AF292,-AI292,0,IF(AE292="Beginning",1,0)))</f>
        <v>0</v>
      </c>
      <c r="AP292" s="69"/>
      <c r="AQ292" s="76">
        <f t="shared" si="34"/>
        <v>0</v>
      </c>
      <c r="AR292" s="72"/>
    </row>
    <row r="293" spans="1:44">
      <c r="A293" s="69"/>
      <c r="B293" s="70"/>
      <c r="C293" s="69"/>
      <c r="D293" s="69"/>
      <c r="E293" s="69"/>
      <c r="F293" s="69"/>
      <c r="G293" s="69"/>
      <c r="H293" s="69"/>
      <c r="I293" s="69"/>
      <c r="J293" s="69"/>
      <c r="K293" t="str">
        <f t="shared" si="30"/>
        <v>Not a Lease</v>
      </c>
      <c r="L293" s="69"/>
      <c r="M293" s="69"/>
      <c r="N293" s="69"/>
      <c r="O293" s="69"/>
      <c r="P293" s="69"/>
      <c r="Q293" s="69"/>
      <c r="R293" s="69"/>
      <c r="S293" s="69"/>
      <c r="T293" s="69"/>
      <c r="U293" s="69"/>
      <c r="V293" s="69"/>
      <c r="W293" s="69"/>
      <c r="X293" s="69"/>
      <c r="Y293" s="69"/>
      <c r="Z293">
        <f t="shared" si="33"/>
        <v>0</v>
      </c>
      <c r="AA293">
        <f t="shared" si="31"/>
        <v>0</v>
      </c>
      <c r="AB293">
        <f t="shared" si="32"/>
        <v>0</v>
      </c>
      <c r="AC293">
        <f>+IF(Table3[[#This Row],[Do Both Parties have to agree for extension to occur?]]="Yes",0,IF(AND(W293="Yes",Q293="Yes"),IF(R293=X293,R293,MAX(R293,X293)),IF(AND(W293="Yes",OR(Q293="No",Q293="")),X293,IF(AND(OR(W293="No",W293=""),Q293="Yes"),R293,0))))</f>
        <v>0</v>
      </c>
      <c r="AD293" s="69"/>
      <c r="AE293" s="69"/>
      <c r="AF293" t="str">
        <f>IF(AD293="Monthly",Table3[[#This Row],[Assessed Term]]*12,IF(AD293="quarterly",Table3[[#This Row],[Assessed Term]]*4,IF(AD293="annually",Table3[[#This Row],[Assessed Term]]*1,IF(AD293="weekly",Table3[[#This Row],[Assessed Term]]*52,IF(AD293="semiannually",Table3[[#This Row],[Assessed Term]]*2," ")))))</f>
        <v xml:space="preserve"> </v>
      </c>
      <c r="AG293" s="69"/>
      <c r="AH293" s="69"/>
      <c r="AI293" s="73"/>
      <c r="AJ293" s="73"/>
      <c r="AK293" s="73"/>
      <c r="AL293" s="69"/>
      <c r="AM293" s="69"/>
      <c r="AN293" s="120"/>
      <c r="AO293" s="76" t="b">
        <f>IF(K293 = "Lease",+PV(AN293/(AF293/Table3[[#This Row],[Assessed Term]]),AF293,-AI293,0,IF(AE293="Beginning",1,0)))</f>
        <v>0</v>
      </c>
      <c r="AP293" s="69"/>
      <c r="AQ293" s="76">
        <f t="shared" si="34"/>
        <v>0</v>
      </c>
      <c r="AR293" s="72"/>
    </row>
    <row r="294" spans="1:44">
      <c r="A294" s="69"/>
      <c r="B294" s="70"/>
      <c r="C294" s="69"/>
      <c r="D294" s="69"/>
      <c r="E294" s="69"/>
      <c r="F294" s="69"/>
      <c r="G294" s="69"/>
      <c r="H294" s="69"/>
      <c r="I294" s="69"/>
      <c r="J294" s="69"/>
      <c r="K294" t="str">
        <f t="shared" si="30"/>
        <v>Not a Lease</v>
      </c>
      <c r="L294" s="69"/>
      <c r="M294" s="69"/>
      <c r="N294" s="69"/>
      <c r="O294" s="69"/>
      <c r="P294" s="69"/>
      <c r="Q294" s="69"/>
      <c r="R294" s="69"/>
      <c r="S294" s="69"/>
      <c r="T294" s="69"/>
      <c r="U294" s="69"/>
      <c r="V294" s="69"/>
      <c r="W294" s="69"/>
      <c r="X294" s="69"/>
      <c r="Y294" s="69"/>
      <c r="Z294">
        <f t="shared" si="33"/>
        <v>0</v>
      </c>
      <c r="AA294">
        <f t="shared" si="31"/>
        <v>0</v>
      </c>
      <c r="AB294">
        <f t="shared" si="32"/>
        <v>0</v>
      </c>
      <c r="AC294">
        <f>+IF(Table3[[#This Row],[Do Both Parties have to agree for extension to occur?]]="Yes",0,IF(AND(W294="Yes",Q294="Yes"),IF(R294=X294,R294,MAX(R294,X294)),IF(AND(W294="Yes",OR(Q294="No",Q294="")),X294,IF(AND(OR(W294="No",W294=""),Q294="Yes"),R294,0))))</f>
        <v>0</v>
      </c>
      <c r="AD294" s="69"/>
      <c r="AE294" s="69"/>
      <c r="AF294" t="str">
        <f>IF(AD294="Monthly",Table3[[#This Row],[Assessed Term]]*12,IF(AD294="quarterly",Table3[[#This Row],[Assessed Term]]*4,IF(AD294="annually",Table3[[#This Row],[Assessed Term]]*1,IF(AD294="weekly",Table3[[#This Row],[Assessed Term]]*52,IF(AD294="semiannually",Table3[[#This Row],[Assessed Term]]*2," ")))))</f>
        <v xml:space="preserve"> </v>
      </c>
      <c r="AG294" s="69"/>
      <c r="AH294" s="69"/>
      <c r="AI294" s="73"/>
      <c r="AJ294" s="73"/>
      <c r="AK294" s="73"/>
      <c r="AL294" s="69"/>
      <c r="AM294" s="69"/>
      <c r="AN294" s="120"/>
      <c r="AO294" s="76" t="b">
        <f>IF(K294 = "Lease",+PV(AN294/(AF294/Table3[[#This Row],[Assessed Term]]),AF294,-AI294,0,IF(AE294="Beginning",1,0)))</f>
        <v>0</v>
      </c>
      <c r="AP294" s="69"/>
      <c r="AQ294" s="76">
        <f t="shared" si="34"/>
        <v>0</v>
      </c>
      <c r="AR294" s="72"/>
    </row>
    <row r="295" spans="1:44">
      <c r="A295" s="69"/>
      <c r="B295" s="70"/>
      <c r="C295" s="69"/>
      <c r="D295" s="69"/>
      <c r="E295" s="69"/>
      <c r="F295" s="69"/>
      <c r="G295" s="69"/>
      <c r="H295" s="69"/>
      <c r="I295" s="69"/>
      <c r="J295" s="69"/>
      <c r="K295" t="str">
        <f t="shared" si="30"/>
        <v>Not a Lease</v>
      </c>
      <c r="L295" s="69"/>
      <c r="M295" s="69"/>
      <c r="N295" s="69"/>
      <c r="O295" s="69"/>
      <c r="P295" s="69"/>
      <c r="Q295" s="69"/>
      <c r="R295" s="69"/>
      <c r="S295" s="69"/>
      <c r="T295" s="69"/>
      <c r="U295" s="69"/>
      <c r="V295" s="69"/>
      <c r="W295" s="69"/>
      <c r="X295" s="69"/>
      <c r="Y295" s="69"/>
      <c r="Z295">
        <f t="shared" si="33"/>
        <v>0</v>
      </c>
      <c r="AA295">
        <f t="shared" si="31"/>
        <v>0</v>
      </c>
      <c r="AB295">
        <f t="shared" si="32"/>
        <v>0</v>
      </c>
      <c r="AC295">
        <f>+IF(Table3[[#This Row],[Do Both Parties have to agree for extension to occur?]]="Yes",0,IF(AND(W295="Yes",Q295="Yes"),IF(R295=X295,R295,MAX(R295,X295)),IF(AND(W295="Yes",OR(Q295="No",Q295="")),X295,IF(AND(OR(W295="No",W295=""),Q295="Yes"),R295,0))))</f>
        <v>0</v>
      </c>
      <c r="AD295" s="69"/>
      <c r="AE295" s="69"/>
      <c r="AF295" t="str">
        <f>IF(AD295="Monthly",Table3[[#This Row],[Assessed Term]]*12,IF(AD295="quarterly",Table3[[#This Row],[Assessed Term]]*4,IF(AD295="annually",Table3[[#This Row],[Assessed Term]]*1,IF(AD295="weekly",Table3[[#This Row],[Assessed Term]]*52,IF(AD295="semiannually",Table3[[#This Row],[Assessed Term]]*2," ")))))</f>
        <v xml:space="preserve"> </v>
      </c>
      <c r="AG295" s="69"/>
      <c r="AH295" s="69"/>
      <c r="AI295" s="73"/>
      <c r="AJ295" s="73"/>
      <c r="AK295" s="73"/>
      <c r="AL295" s="69"/>
      <c r="AM295" s="69"/>
      <c r="AN295" s="120"/>
      <c r="AO295" s="76" t="b">
        <f>IF(K295 = "Lease",+PV(AN295/(AF295/Table3[[#This Row],[Assessed Term]]),AF295,-AI295,0,IF(AE295="Beginning",1,0)))</f>
        <v>0</v>
      </c>
      <c r="AP295" s="69"/>
      <c r="AQ295" s="76">
        <f t="shared" si="34"/>
        <v>0</v>
      </c>
      <c r="AR295" s="72"/>
    </row>
    <row r="296" spans="1:44">
      <c r="A296" s="69"/>
      <c r="B296" s="70"/>
      <c r="C296" s="69"/>
      <c r="D296" s="69"/>
      <c r="E296" s="69"/>
      <c r="F296" s="69"/>
      <c r="G296" s="69"/>
      <c r="H296" s="69"/>
      <c r="I296" s="69"/>
      <c r="J296" s="69"/>
      <c r="K296" t="str">
        <f t="shared" si="30"/>
        <v>Not a Lease</v>
      </c>
      <c r="L296" s="69"/>
      <c r="M296" s="69"/>
      <c r="N296" s="69"/>
      <c r="O296" s="69"/>
      <c r="P296" s="69"/>
      <c r="Q296" s="69"/>
      <c r="R296" s="69"/>
      <c r="S296" s="69"/>
      <c r="T296" s="69"/>
      <c r="U296" s="69"/>
      <c r="V296" s="69"/>
      <c r="W296" s="69"/>
      <c r="X296" s="69"/>
      <c r="Y296" s="69"/>
      <c r="Z296">
        <f t="shared" si="33"/>
        <v>0</v>
      </c>
      <c r="AA296">
        <f t="shared" si="31"/>
        <v>0</v>
      </c>
      <c r="AB296">
        <f t="shared" si="32"/>
        <v>0</v>
      </c>
      <c r="AC296">
        <f>+IF(Table3[[#This Row],[Do Both Parties have to agree for extension to occur?]]="Yes",0,IF(AND(W296="Yes",Q296="Yes"),IF(R296=X296,R296,MAX(R296,X296)),IF(AND(W296="Yes",OR(Q296="No",Q296="")),X296,IF(AND(OR(W296="No",W296=""),Q296="Yes"),R296,0))))</f>
        <v>0</v>
      </c>
      <c r="AD296" s="69"/>
      <c r="AE296" s="69"/>
      <c r="AF296" t="str">
        <f>IF(AD296="Monthly",Table3[[#This Row],[Assessed Term]]*12,IF(AD296="quarterly",Table3[[#This Row],[Assessed Term]]*4,IF(AD296="annually",Table3[[#This Row],[Assessed Term]]*1,IF(AD296="weekly",Table3[[#This Row],[Assessed Term]]*52,IF(AD296="semiannually",Table3[[#This Row],[Assessed Term]]*2," ")))))</f>
        <v xml:space="preserve"> </v>
      </c>
      <c r="AG296" s="69"/>
      <c r="AH296" s="69"/>
      <c r="AI296" s="73"/>
      <c r="AJ296" s="73"/>
      <c r="AK296" s="73"/>
      <c r="AL296" s="69"/>
      <c r="AM296" s="69"/>
      <c r="AN296" s="120"/>
      <c r="AO296" s="76" t="b">
        <f>IF(K296 = "Lease",+PV(AN296/(AF296/Table3[[#This Row],[Assessed Term]]),AF296,-AI296,0,IF(AE296="Beginning",1,0)))</f>
        <v>0</v>
      </c>
      <c r="AP296" s="69"/>
      <c r="AQ296" s="76">
        <f t="shared" si="34"/>
        <v>0</v>
      </c>
      <c r="AR296" s="72"/>
    </row>
    <row r="297" spans="1:44">
      <c r="A297" s="69"/>
      <c r="B297" s="70"/>
      <c r="C297" s="69"/>
      <c r="D297" s="69"/>
      <c r="E297" s="69"/>
      <c r="F297" s="69"/>
      <c r="G297" s="69"/>
      <c r="H297" s="69"/>
      <c r="I297" s="69"/>
      <c r="J297" s="69"/>
      <c r="K297" t="str">
        <f t="shared" si="30"/>
        <v>Not a Lease</v>
      </c>
      <c r="L297" s="69"/>
      <c r="M297" s="69"/>
      <c r="N297" s="69"/>
      <c r="O297" s="69"/>
      <c r="P297" s="69"/>
      <c r="Q297" s="69"/>
      <c r="R297" s="69"/>
      <c r="S297" s="69"/>
      <c r="T297" s="69"/>
      <c r="U297" s="69"/>
      <c r="V297" s="69"/>
      <c r="W297" s="69"/>
      <c r="X297" s="69"/>
      <c r="Y297" s="69"/>
      <c r="Z297">
        <f t="shared" si="33"/>
        <v>0</v>
      </c>
      <c r="AA297">
        <f t="shared" si="31"/>
        <v>0</v>
      </c>
      <c r="AB297">
        <f t="shared" si="32"/>
        <v>0</v>
      </c>
      <c r="AC297">
        <f>+IF(Table3[[#This Row],[Do Both Parties have to agree for extension to occur?]]="Yes",0,IF(AND(W297="Yes",Q297="Yes"),IF(R297=X297,R297,MAX(R297,X297)),IF(AND(W297="Yes",OR(Q297="No",Q297="")),X297,IF(AND(OR(W297="No",W297=""),Q297="Yes"),R297,0))))</f>
        <v>0</v>
      </c>
      <c r="AD297" s="69"/>
      <c r="AE297" s="69"/>
      <c r="AF297" t="str">
        <f>IF(AD297="Monthly",Table3[[#This Row],[Assessed Term]]*12,IF(AD297="quarterly",Table3[[#This Row],[Assessed Term]]*4,IF(AD297="annually",Table3[[#This Row],[Assessed Term]]*1,IF(AD297="weekly",Table3[[#This Row],[Assessed Term]]*52,IF(AD297="semiannually",Table3[[#This Row],[Assessed Term]]*2," ")))))</f>
        <v xml:space="preserve"> </v>
      </c>
      <c r="AG297" s="69"/>
      <c r="AH297" s="69"/>
      <c r="AI297" s="73"/>
      <c r="AJ297" s="73"/>
      <c r="AK297" s="73"/>
      <c r="AL297" s="69"/>
      <c r="AM297" s="69"/>
      <c r="AN297" s="120"/>
      <c r="AO297" s="76" t="b">
        <f>IF(K297 = "Lease",+PV(AN297/(AF297/Table3[[#This Row],[Assessed Term]]),AF297,-AI297,0,IF(AE297="Beginning",1,0)))</f>
        <v>0</v>
      </c>
      <c r="AP297" s="69"/>
      <c r="AQ297" s="76">
        <f t="shared" si="34"/>
        <v>0</v>
      </c>
      <c r="AR297" s="72"/>
    </row>
    <row r="298" spans="1:44">
      <c r="A298" s="69"/>
      <c r="B298" s="70"/>
      <c r="C298" s="69"/>
      <c r="D298" s="69"/>
      <c r="E298" s="69"/>
      <c r="F298" s="69"/>
      <c r="G298" s="69"/>
      <c r="H298" s="69"/>
      <c r="I298" s="69"/>
      <c r="J298" s="69"/>
      <c r="K298" t="str">
        <f t="shared" si="30"/>
        <v>Not a Lease</v>
      </c>
      <c r="L298" s="69"/>
      <c r="M298" s="69"/>
      <c r="N298" s="69"/>
      <c r="O298" s="69"/>
      <c r="P298" s="69"/>
      <c r="Q298" s="69"/>
      <c r="R298" s="69"/>
      <c r="S298" s="69"/>
      <c r="T298" s="69"/>
      <c r="U298" s="69"/>
      <c r="V298" s="69"/>
      <c r="W298" s="69"/>
      <c r="X298" s="69"/>
      <c r="Y298" s="69"/>
      <c r="Z298">
        <f t="shared" si="33"/>
        <v>0</v>
      </c>
      <c r="AA298">
        <f t="shared" si="31"/>
        <v>0</v>
      </c>
      <c r="AB298">
        <f t="shared" si="32"/>
        <v>0</v>
      </c>
      <c r="AC298">
        <f>+IF(Table3[[#This Row],[Do Both Parties have to agree for extension to occur?]]="Yes",0,IF(AND(W298="Yes",Q298="Yes"),IF(R298=X298,R298,MAX(R298,X298)),IF(AND(W298="Yes",OR(Q298="No",Q298="")),X298,IF(AND(OR(W298="No",W298=""),Q298="Yes"),R298,0))))</f>
        <v>0</v>
      </c>
      <c r="AD298" s="69"/>
      <c r="AE298" s="69"/>
      <c r="AF298" t="str">
        <f>IF(AD298="Monthly",Table3[[#This Row],[Assessed Term]]*12,IF(AD298="quarterly",Table3[[#This Row],[Assessed Term]]*4,IF(AD298="annually",Table3[[#This Row],[Assessed Term]]*1,IF(AD298="weekly",Table3[[#This Row],[Assessed Term]]*52,IF(AD298="semiannually",Table3[[#This Row],[Assessed Term]]*2," ")))))</f>
        <v xml:space="preserve"> </v>
      </c>
      <c r="AG298" s="69"/>
      <c r="AH298" s="69"/>
      <c r="AI298" s="73"/>
      <c r="AJ298" s="73"/>
      <c r="AK298" s="73"/>
      <c r="AL298" s="69"/>
      <c r="AM298" s="69"/>
      <c r="AN298" s="120"/>
      <c r="AO298" s="76" t="b">
        <f>IF(K298 = "Lease",+PV(AN298/(AF298/Table3[[#This Row],[Assessed Term]]),AF298,-AI298,0,IF(AE298="Beginning",1,0)))</f>
        <v>0</v>
      </c>
      <c r="AP298" s="69"/>
      <c r="AQ298" s="76">
        <f t="shared" si="34"/>
        <v>0</v>
      </c>
      <c r="AR298" s="72"/>
    </row>
    <row r="299" spans="1:44">
      <c r="A299" s="69"/>
      <c r="B299" s="70"/>
      <c r="C299" s="69"/>
      <c r="D299" s="69"/>
      <c r="E299" s="69"/>
      <c r="F299" s="69"/>
      <c r="G299" s="69"/>
      <c r="H299" s="69"/>
      <c r="I299" s="69"/>
      <c r="J299" s="69"/>
      <c r="K299" t="str">
        <f t="shared" si="30"/>
        <v>Not a Lease</v>
      </c>
      <c r="L299" s="69"/>
      <c r="M299" s="69"/>
      <c r="N299" s="69"/>
      <c r="O299" s="69"/>
      <c r="P299" s="69"/>
      <c r="Q299" s="69"/>
      <c r="R299" s="69"/>
      <c r="S299" s="69"/>
      <c r="T299" s="69"/>
      <c r="U299" s="69"/>
      <c r="V299" s="69"/>
      <c r="W299" s="69"/>
      <c r="X299" s="69"/>
      <c r="Y299" s="69"/>
      <c r="Z299">
        <f t="shared" si="33"/>
        <v>0</v>
      </c>
      <c r="AA299">
        <f t="shared" si="31"/>
        <v>0</v>
      </c>
      <c r="AB299">
        <f t="shared" si="32"/>
        <v>0</v>
      </c>
      <c r="AC299">
        <f>+IF(Table3[[#This Row],[Do Both Parties have to agree for extension to occur?]]="Yes",0,IF(AND(W299="Yes",Q299="Yes"),IF(R299=X299,R299,MAX(R299,X299)),IF(AND(W299="Yes",OR(Q299="No",Q299="")),X299,IF(AND(OR(W299="No",W299=""),Q299="Yes"),R299,0))))</f>
        <v>0</v>
      </c>
      <c r="AD299" s="69"/>
      <c r="AE299" s="69"/>
      <c r="AF299" t="str">
        <f>IF(AD299="Monthly",Table3[[#This Row],[Assessed Term]]*12,IF(AD299="quarterly",Table3[[#This Row],[Assessed Term]]*4,IF(AD299="annually",Table3[[#This Row],[Assessed Term]]*1,IF(AD299="weekly",Table3[[#This Row],[Assessed Term]]*52,IF(AD299="semiannually",Table3[[#This Row],[Assessed Term]]*2," ")))))</f>
        <v xml:space="preserve"> </v>
      </c>
      <c r="AG299" s="69"/>
      <c r="AH299" s="69"/>
      <c r="AI299" s="73"/>
      <c r="AJ299" s="73"/>
      <c r="AK299" s="73"/>
      <c r="AL299" s="69"/>
      <c r="AM299" s="69"/>
      <c r="AN299" s="120"/>
      <c r="AO299" s="76" t="b">
        <f>IF(K299 = "Lease",+PV(AN299/(AF299/Table3[[#This Row],[Assessed Term]]),AF299,-AI299,0,IF(AE299="Beginning",1,0)))</f>
        <v>0</v>
      </c>
      <c r="AP299" s="69"/>
      <c r="AQ299" s="76">
        <f t="shared" si="34"/>
        <v>0</v>
      </c>
      <c r="AR299" s="72"/>
    </row>
    <row r="300" spans="1:44">
      <c r="A300" s="69"/>
      <c r="B300" s="70"/>
      <c r="C300" s="69"/>
      <c r="D300" s="69"/>
      <c r="E300" s="69"/>
      <c r="F300" s="69"/>
      <c r="G300" s="69"/>
      <c r="H300" s="69"/>
      <c r="I300" s="69"/>
      <c r="J300" s="69"/>
      <c r="K300" t="str">
        <f t="shared" si="30"/>
        <v>Not a Lease</v>
      </c>
      <c r="L300" s="69"/>
      <c r="M300" s="69"/>
      <c r="N300" s="69"/>
      <c r="O300" s="69"/>
      <c r="P300" s="69"/>
      <c r="Q300" s="69"/>
      <c r="R300" s="69"/>
      <c r="S300" s="69"/>
      <c r="T300" s="69"/>
      <c r="U300" s="69"/>
      <c r="V300" s="69"/>
      <c r="W300" s="69"/>
      <c r="X300" s="69"/>
      <c r="Y300" s="69"/>
      <c r="Z300">
        <f t="shared" si="33"/>
        <v>0</v>
      </c>
      <c r="AA300">
        <f t="shared" si="31"/>
        <v>0</v>
      </c>
      <c r="AB300">
        <f t="shared" si="32"/>
        <v>0</v>
      </c>
      <c r="AC300">
        <f>+IF(Table3[[#This Row],[Do Both Parties have to agree for extension to occur?]]="Yes",0,IF(AND(W300="Yes",Q300="Yes"),IF(R300=X300,R300,MAX(R300,X300)),IF(AND(W300="Yes",OR(Q300="No",Q300="")),X300,IF(AND(OR(W300="No",W300=""),Q300="Yes"),R300,0))))</f>
        <v>0</v>
      </c>
      <c r="AD300" s="69"/>
      <c r="AE300" s="69"/>
      <c r="AF300" t="str">
        <f>IF(AD300="Monthly",Table3[[#This Row],[Assessed Term]]*12,IF(AD300="quarterly",Table3[[#This Row],[Assessed Term]]*4,IF(AD300="annually",Table3[[#This Row],[Assessed Term]]*1,IF(AD300="weekly",Table3[[#This Row],[Assessed Term]]*52,IF(AD300="semiannually",Table3[[#This Row],[Assessed Term]]*2," ")))))</f>
        <v xml:space="preserve"> </v>
      </c>
      <c r="AG300" s="69"/>
      <c r="AH300" s="69"/>
      <c r="AI300" s="73"/>
      <c r="AJ300" s="73"/>
      <c r="AK300" s="73"/>
      <c r="AL300" s="69"/>
      <c r="AM300" s="69"/>
      <c r="AN300" s="120"/>
      <c r="AO300" s="76" t="b">
        <f>IF(K300 = "Lease",+PV(AN300/(AF300/Table3[[#This Row],[Assessed Term]]),AF300,-AI300,0,IF(AE300="Beginning",1,0)))</f>
        <v>0</v>
      </c>
      <c r="AP300" s="69"/>
      <c r="AQ300" s="76">
        <f t="shared" si="34"/>
        <v>0</v>
      </c>
      <c r="AR300" s="72"/>
    </row>
    <row r="301" spans="1:44">
      <c r="A301" s="69"/>
      <c r="B301" s="70"/>
      <c r="C301" s="69"/>
      <c r="D301" s="69"/>
      <c r="E301" s="69"/>
      <c r="F301" s="69"/>
      <c r="G301" s="69"/>
      <c r="H301" s="69"/>
      <c r="I301" s="69"/>
      <c r="J301" s="69"/>
      <c r="K301" t="str">
        <f t="shared" si="30"/>
        <v>Not a Lease</v>
      </c>
      <c r="L301" s="69"/>
      <c r="M301" s="69"/>
      <c r="N301" s="69"/>
      <c r="O301" s="69"/>
      <c r="P301" s="69"/>
      <c r="Q301" s="69"/>
      <c r="R301" s="69"/>
      <c r="S301" s="69"/>
      <c r="T301" s="69"/>
      <c r="U301" s="69"/>
      <c r="V301" s="69"/>
      <c r="W301" s="69"/>
      <c r="X301" s="69"/>
      <c r="Y301" s="69"/>
      <c r="Z301">
        <f t="shared" si="33"/>
        <v>0</v>
      </c>
      <c r="AA301">
        <f t="shared" si="31"/>
        <v>0</v>
      </c>
      <c r="AB301">
        <f t="shared" si="32"/>
        <v>0</v>
      </c>
      <c r="AC301">
        <f>+IF(Table3[[#This Row],[Do Both Parties have to agree for extension to occur?]]="Yes",0,IF(AND(W301="Yes",Q301="Yes"),IF(R301=X301,R301,MAX(R301,X301)),IF(AND(W301="Yes",OR(Q301="No",Q301="")),X301,IF(AND(OR(W301="No",W301=""),Q301="Yes"),R301,0))))</f>
        <v>0</v>
      </c>
      <c r="AD301" s="69"/>
      <c r="AE301" s="69"/>
      <c r="AF301" t="str">
        <f>IF(AD301="Monthly",Table3[[#This Row],[Assessed Term]]*12,IF(AD301="quarterly",Table3[[#This Row],[Assessed Term]]*4,IF(AD301="annually",Table3[[#This Row],[Assessed Term]]*1,IF(AD301="weekly",Table3[[#This Row],[Assessed Term]]*52,IF(AD301="semiannually",Table3[[#This Row],[Assessed Term]]*2," ")))))</f>
        <v xml:space="preserve"> </v>
      </c>
      <c r="AG301" s="69"/>
      <c r="AH301" s="69"/>
      <c r="AI301" s="73"/>
      <c r="AJ301" s="73"/>
      <c r="AK301" s="73"/>
      <c r="AL301" s="69"/>
      <c r="AM301" s="69"/>
      <c r="AN301" s="120"/>
      <c r="AO301" s="76" t="b">
        <f>IF(K301 = "Lease",+PV(AN301/(AF301/Table3[[#This Row],[Assessed Term]]),AF301,-AI301,0,IF(AE301="Beginning",1,0)))</f>
        <v>0</v>
      </c>
      <c r="AP301" s="69"/>
      <c r="AQ301" s="76">
        <f t="shared" si="34"/>
        <v>0</v>
      </c>
      <c r="AR301" s="72"/>
    </row>
    <row r="302" spans="1:44">
      <c r="A302" s="69"/>
      <c r="B302" s="70"/>
      <c r="C302" s="69"/>
      <c r="D302" s="69"/>
      <c r="E302" s="69"/>
      <c r="F302" s="69"/>
      <c r="G302" s="69"/>
      <c r="H302" s="69"/>
      <c r="I302" s="69"/>
      <c r="J302" s="69"/>
      <c r="K302" t="str">
        <f t="shared" si="30"/>
        <v>Not a Lease</v>
      </c>
      <c r="L302" s="69"/>
      <c r="M302" s="69"/>
      <c r="N302" s="69"/>
      <c r="O302" s="69"/>
      <c r="P302" s="69"/>
      <c r="Q302" s="69"/>
      <c r="R302" s="69"/>
      <c r="S302" s="69"/>
      <c r="T302" s="69"/>
      <c r="U302" s="69"/>
      <c r="V302" s="69"/>
      <c r="W302" s="69"/>
      <c r="X302" s="69"/>
      <c r="Y302" s="69"/>
      <c r="Z302">
        <f t="shared" si="33"/>
        <v>0</v>
      </c>
      <c r="AA302">
        <f t="shared" si="31"/>
        <v>0</v>
      </c>
      <c r="AB302">
        <f t="shared" si="32"/>
        <v>0</v>
      </c>
      <c r="AC302">
        <f>+IF(Table3[[#This Row],[Do Both Parties have to agree for extension to occur?]]="Yes",0,IF(AND(W302="Yes",Q302="Yes"),IF(R302=X302,R302,MAX(R302,X302)),IF(AND(W302="Yes",OR(Q302="No",Q302="")),X302,IF(AND(OR(W302="No",W302=""),Q302="Yes"),R302,0))))</f>
        <v>0</v>
      </c>
      <c r="AD302" s="69"/>
      <c r="AE302" s="69"/>
      <c r="AF302" t="str">
        <f>IF(AD302="Monthly",Table3[[#This Row],[Assessed Term]]*12,IF(AD302="quarterly",Table3[[#This Row],[Assessed Term]]*4,IF(AD302="annually",Table3[[#This Row],[Assessed Term]]*1,IF(AD302="weekly",Table3[[#This Row],[Assessed Term]]*52,IF(AD302="semiannually",Table3[[#This Row],[Assessed Term]]*2," ")))))</f>
        <v xml:space="preserve"> </v>
      </c>
      <c r="AG302" s="69"/>
      <c r="AH302" s="69"/>
      <c r="AI302" s="73"/>
      <c r="AJ302" s="73"/>
      <c r="AK302" s="73"/>
      <c r="AL302" s="69"/>
      <c r="AM302" s="69"/>
      <c r="AN302" s="120"/>
      <c r="AO302" s="76" t="b">
        <f>IF(K302 = "Lease",+PV(AN302/(AF302/Table3[[#This Row],[Assessed Term]]),AF302,-AI302,0,IF(AE302="Beginning",1,0)))</f>
        <v>0</v>
      </c>
      <c r="AP302" s="69"/>
      <c r="AQ302" s="76">
        <f t="shared" si="34"/>
        <v>0</v>
      </c>
      <c r="AR302" s="72"/>
    </row>
    <row r="303" spans="1:44">
      <c r="A303" s="69"/>
      <c r="B303" s="70"/>
      <c r="C303" s="69"/>
      <c r="D303" s="69"/>
      <c r="E303" s="69"/>
      <c r="F303" s="69"/>
      <c r="G303" s="69"/>
      <c r="H303" s="69"/>
      <c r="I303" s="69"/>
      <c r="J303" s="69"/>
      <c r="K303" t="str">
        <f t="shared" si="30"/>
        <v>Not a Lease</v>
      </c>
      <c r="L303" s="69"/>
      <c r="M303" s="69"/>
      <c r="N303" s="69"/>
      <c r="O303" s="69"/>
      <c r="P303" s="69"/>
      <c r="Q303" s="69"/>
      <c r="R303" s="69"/>
      <c r="S303" s="69"/>
      <c r="T303" s="69"/>
      <c r="U303" s="69"/>
      <c r="V303" s="69"/>
      <c r="W303" s="69"/>
      <c r="X303" s="69"/>
      <c r="Y303" s="69"/>
      <c r="Z303">
        <f t="shared" si="33"/>
        <v>0</v>
      </c>
      <c r="AA303">
        <f t="shared" si="31"/>
        <v>0</v>
      </c>
      <c r="AB303">
        <f t="shared" si="32"/>
        <v>0</v>
      </c>
      <c r="AC303">
        <f>+IF(Table3[[#This Row],[Do Both Parties have to agree for extension to occur?]]="Yes",0,IF(AND(W303="Yes",Q303="Yes"),IF(R303=X303,R303,MAX(R303,X303)),IF(AND(W303="Yes",OR(Q303="No",Q303="")),X303,IF(AND(OR(W303="No",W303=""),Q303="Yes"),R303,0))))</f>
        <v>0</v>
      </c>
      <c r="AD303" s="69"/>
      <c r="AE303" s="69"/>
      <c r="AF303" t="str">
        <f>IF(AD303="Monthly",Table3[[#This Row],[Assessed Term]]*12,IF(AD303="quarterly",Table3[[#This Row],[Assessed Term]]*4,IF(AD303="annually",Table3[[#This Row],[Assessed Term]]*1,IF(AD303="weekly",Table3[[#This Row],[Assessed Term]]*52,IF(AD303="semiannually",Table3[[#This Row],[Assessed Term]]*2," ")))))</f>
        <v xml:space="preserve"> </v>
      </c>
      <c r="AG303" s="69"/>
      <c r="AH303" s="69"/>
      <c r="AI303" s="73"/>
      <c r="AJ303" s="73"/>
      <c r="AK303" s="73"/>
      <c r="AL303" s="69"/>
      <c r="AM303" s="69"/>
      <c r="AN303" s="120"/>
      <c r="AO303" s="76" t="b">
        <f>IF(K303 = "Lease",+PV(AN303/(AF303/Table3[[#This Row],[Assessed Term]]),AF303,-AI303,0,IF(AE303="Beginning",1,0)))</f>
        <v>0</v>
      </c>
      <c r="AP303" s="69"/>
      <c r="AQ303" s="76">
        <f t="shared" si="34"/>
        <v>0</v>
      </c>
      <c r="AR303" s="72"/>
    </row>
    <row r="304" spans="1:44">
      <c r="A304" s="69"/>
      <c r="B304" s="70"/>
      <c r="C304" s="69"/>
      <c r="D304" s="69"/>
      <c r="E304" s="69"/>
      <c r="F304" s="69"/>
      <c r="G304" s="69"/>
      <c r="H304" s="69"/>
      <c r="I304" s="69"/>
      <c r="J304" s="69"/>
      <c r="K304" t="str">
        <f t="shared" si="30"/>
        <v>Not a Lease</v>
      </c>
      <c r="L304" s="69"/>
      <c r="M304" s="69"/>
      <c r="N304" s="69"/>
      <c r="O304" s="69"/>
      <c r="P304" s="69"/>
      <c r="Q304" s="69"/>
      <c r="R304" s="69"/>
      <c r="S304" s="69"/>
      <c r="T304" s="69"/>
      <c r="U304" s="69"/>
      <c r="V304" s="69"/>
      <c r="W304" s="69"/>
      <c r="X304" s="69"/>
      <c r="Y304" s="69"/>
      <c r="Z304">
        <f t="shared" si="33"/>
        <v>0</v>
      </c>
      <c r="AA304">
        <f t="shared" si="31"/>
        <v>0</v>
      </c>
      <c r="AB304">
        <f t="shared" si="32"/>
        <v>0</v>
      </c>
      <c r="AC304">
        <f>+IF(Table3[[#This Row],[Do Both Parties have to agree for extension to occur?]]="Yes",0,IF(AND(W304="Yes",Q304="Yes"),IF(R304=X304,R304,MAX(R304,X304)),IF(AND(W304="Yes",OR(Q304="No",Q304="")),X304,IF(AND(OR(W304="No",W304=""),Q304="Yes"),R304,0))))</f>
        <v>0</v>
      </c>
      <c r="AD304" s="69"/>
      <c r="AE304" s="69"/>
      <c r="AF304" t="str">
        <f>IF(AD304="Monthly",Table3[[#This Row],[Assessed Term]]*12,IF(AD304="quarterly",Table3[[#This Row],[Assessed Term]]*4,IF(AD304="annually",Table3[[#This Row],[Assessed Term]]*1,IF(AD304="weekly",Table3[[#This Row],[Assessed Term]]*52,IF(AD304="semiannually",Table3[[#This Row],[Assessed Term]]*2," ")))))</f>
        <v xml:space="preserve"> </v>
      </c>
      <c r="AG304" s="69"/>
      <c r="AH304" s="69"/>
      <c r="AI304" s="73"/>
      <c r="AJ304" s="73"/>
      <c r="AK304" s="73"/>
      <c r="AL304" s="69"/>
      <c r="AM304" s="69"/>
      <c r="AN304" s="120"/>
      <c r="AO304" s="76" t="b">
        <f>IF(K304 = "Lease",+PV(AN304/(AF304/Table3[[#This Row],[Assessed Term]]),AF304,-AI304,0,IF(AE304="Beginning",1,0)))</f>
        <v>0</v>
      </c>
      <c r="AP304" s="69"/>
      <c r="AQ304" s="76">
        <f t="shared" si="34"/>
        <v>0</v>
      </c>
      <c r="AR304" s="72"/>
    </row>
    <row r="305" spans="1:44">
      <c r="A305" s="69"/>
      <c r="B305" s="70"/>
      <c r="C305" s="69"/>
      <c r="D305" s="69"/>
      <c r="E305" s="69"/>
      <c r="F305" s="69"/>
      <c r="G305" s="69"/>
      <c r="H305" s="69"/>
      <c r="I305" s="69"/>
      <c r="J305" s="69"/>
      <c r="K305" t="str">
        <f t="shared" si="30"/>
        <v>Not a Lease</v>
      </c>
      <c r="L305" s="69"/>
      <c r="M305" s="69"/>
      <c r="N305" s="69"/>
      <c r="O305" s="69"/>
      <c r="P305" s="69"/>
      <c r="Q305" s="69"/>
      <c r="R305" s="69"/>
      <c r="S305" s="69"/>
      <c r="T305" s="69"/>
      <c r="U305" s="69"/>
      <c r="V305" s="69"/>
      <c r="W305" s="69"/>
      <c r="X305" s="69"/>
      <c r="Y305" s="69"/>
      <c r="Z305">
        <f t="shared" si="33"/>
        <v>0</v>
      </c>
      <c r="AA305">
        <f t="shared" si="31"/>
        <v>0</v>
      </c>
      <c r="AB305">
        <f t="shared" si="32"/>
        <v>0</v>
      </c>
      <c r="AC305">
        <f>+IF(Table3[[#This Row],[Do Both Parties have to agree for extension to occur?]]="Yes",0,IF(AND(W305="Yes",Q305="Yes"),IF(R305=X305,R305,MAX(R305,X305)),IF(AND(W305="Yes",OR(Q305="No",Q305="")),X305,IF(AND(OR(W305="No",W305=""),Q305="Yes"),R305,0))))</f>
        <v>0</v>
      </c>
      <c r="AD305" s="69"/>
      <c r="AE305" s="69"/>
      <c r="AF305" t="str">
        <f>IF(AD305="Monthly",Table3[[#This Row],[Assessed Term]]*12,IF(AD305="quarterly",Table3[[#This Row],[Assessed Term]]*4,IF(AD305="annually",Table3[[#This Row],[Assessed Term]]*1,IF(AD305="weekly",Table3[[#This Row],[Assessed Term]]*52,IF(AD305="semiannually",Table3[[#This Row],[Assessed Term]]*2," ")))))</f>
        <v xml:space="preserve"> </v>
      </c>
      <c r="AG305" s="69"/>
      <c r="AH305" s="69"/>
      <c r="AI305" s="73"/>
      <c r="AJ305" s="73"/>
      <c r="AK305" s="73"/>
      <c r="AL305" s="69"/>
      <c r="AM305" s="69"/>
      <c r="AN305" s="120"/>
      <c r="AO305" s="76" t="b">
        <f>IF(K305 = "Lease",+PV(AN305/(AF305/Table3[[#This Row],[Assessed Term]]),AF305,-AI305,0,IF(AE305="Beginning",1,0)))</f>
        <v>0</v>
      </c>
      <c r="AP305" s="69"/>
      <c r="AQ305" s="76">
        <f t="shared" si="34"/>
        <v>0</v>
      </c>
      <c r="AR305" s="72"/>
    </row>
    <row r="306" spans="1:44">
      <c r="A306" s="69"/>
      <c r="B306" s="70"/>
      <c r="C306" s="69"/>
      <c r="D306" s="69"/>
      <c r="E306" s="69"/>
      <c r="F306" s="69"/>
      <c r="G306" s="69"/>
      <c r="H306" s="69"/>
      <c r="I306" s="69"/>
      <c r="J306" s="69"/>
      <c r="K306" t="str">
        <f t="shared" si="30"/>
        <v>Not a Lease</v>
      </c>
      <c r="L306" s="69"/>
      <c r="M306" s="69"/>
      <c r="N306" s="69"/>
      <c r="O306" s="69"/>
      <c r="P306" s="69"/>
      <c r="Q306" s="69"/>
      <c r="R306" s="69"/>
      <c r="S306" s="69"/>
      <c r="T306" s="69"/>
      <c r="U306" s="69"/>
      <c r="V306" s="69"/>
      <c r="W306" s="69"/>
      <c r="X306" s="69"/>
      <c r="Y306" s="69"/>
      <c r="Z306">
        <f t="shared" si="33"/>
        <v>0</v>
      </c>
      <c r="AA306">
        <f t="shared" si="31"/>
        <v>0</v>
      </c>
      <c r="AB306">
        <f t="shared" si="32"/>
        <v>0</v>
      </c>
      <c r="AC306">
        <f>+IF(Table3[[#This Row],[Do Both Parties have to agree for extension to occur?]]="Yes",0,IF(AND(W306="Yes",Q306="Yes"),IF(R306=X306,R306,MAX(R306,X306)),IF(AND(W306="Yes",OR(Q306="No",Q306="")),X306,IF(AND(OR(W306="No",W306=""),Q306="Yes"),R306,0))))</f>
        <v>0</v>
      </c>
      <c r="AD306" s="69"/>
      <c r="AE306" s="69"/>
      <c r="AF306" t="str">
        <f>IF(AD306="Monthly",Table3[[#This Row],[Assessed Term]]*12,IF(AD306="quarterly",Table3[[#This Row],[Assessed Term]]*4,IF(AD306="annually",Table3[[#This Row],[Assessed Term]]*1,IF(AD306="weekly",Table3[[#This Row],[Assessed Term]]*52,IF(AD306="semiannually",Table3[[#This Row],[Assessed Term]]*2," ")))))</f>
        <v xml:space="preserve"> </v>
      </c>
      <c r="AG306" s="69"/>
      <c r="AH306" s="69"/>
      <c r="AI306" s="73"/>
      <c r="AJ306" s="73"/>
      <c r="AK306" s="73"/>
      <c r="AL306" s="69"/>
      <c r="AM306" s="69"/>
      <c r="AN306" s="120"/>
      <c r="AO306" s="76" t="b">
        <f>IF(K306 = "Lease",+PV(AN306/(AF306/Table3[[#This Row],[Assessed Term]]),AF306,-AI306,0,IF(AE306="Beginning",1,0)))</f>
        <v>0</v>
      </c>
      <c r="AP306" s="69"/>
      <c r="AQ306" s="76">
        <f t="shared" si="34"/>
        <v>0</v>
      </c>
      <c r="AR306" s="72"/>
    </row>
    <row r="307" spans="1:44">
      <c r="A307" s="69"/>
      <c r="B307" s="70"/>
      <c r="C307" s="69"/>
      <c r="D307" s="69"/>
      <c r="E307" s="69"/>
      <c r="F307" s="69"/>
      <c r="G307" s="69"/>
      <c r="H307" s="69"/>
      <c r="I307" s="69"/>
      <c r="J307" s="69"/>
      <c r="K307" t="str">
        <f t="shared" si="30"/>
        <v>Not a Lease</v>
      </c>
      <c r="L307" s="69"/>
      <c r="M307" s="69"/>
      <c r="N307" s="69"/>
      <c r="O307" s="69"/>
      <c r="P307" s="69"/>
      <c r="Q307" s="69"/>
      <c r="R307" s="69"/>
      <c r="S307" s="69"/>
      <c r="T307" s="69"/>
      <c r="U307" s="69"/>
      <c r="V307" s="69"/>
      <c r="W307" s="69"/>
      <c r="X307" s="69"/>
      <c r="Y307" s="69"/>
      <c r="Z307">
        <f t="shared" si="33"/>
        <v>0</v>
      </c>
      <c r="AA307">
        <f t="shared" si="31"/>
        <v>0</v>
      </c>
      <c r="AB307">
        <f t="shared" si="32"/>
        <v>0</v>
      </c>
      <c r="AC307">
        <f>+IF(Table3[[#This Row],[Do Both Parties have to agree for extension to occur?]]="Yes",0,IF(AND(W307="Yes",Q307="Yes"),IF(R307=X307,R307,MAX(R307,X307)),IF(AND(W307="Yes",OR(Q307="No",Q307="")),X307,IF(AND(OR(W307="No",W307=""),Q307="Yes"),R307,0))))</f>
        <v>0</v>
      </c>
      <c r="AD307" s="69"/>
      <c r="AE307" s="69"/>
      <c r="AF307" t="str">
        <f>IF(AD307="Monthly",Table3[[#This Row],[Assessed Term]]*12,IF(AD307="quarterly",Table3[[#This Row],[Assessed Term]]*4,IF(AD307="annually",Table3[[#This Row],[Assessed Term]]*1,IF(AD307="weekly",Table3[[#This Row],[Assessed Term]]*52,IF(AD307="semiannually",Table3[[#This Row],[Assessed Term]]*2," ")))))</f>
        <v xml:space="preserve"> </v>
      </c>
      <c r="AG307" s="69"/>
      <c r="AH307" s="69"/>
      <c r="AI307" s="73"/>
      <c r="AJ307" s="73"/>
      <c r="AK307" s="73"/>
      <c r="AL307" s="69"/>
      <c r="AM307" s="69"/>
      <c r="AN307" s="120"/>
      <c r="AO307" s="76" t="b">
        <f>IF(K307 = "Lease",+PV(AN307/(AF307/Table3[[#This Row],[Assessed Term]]),AF307,-AI307,0,IF(AE307="Beginning",1,0)))</f>
        <v>0</v>
      </c>
      <c r="AP307" s="69"/>
      <c r="AQ307" s="76">
        <f t="shared" si="34"/>
        <v>0</v>
      </c>
      <c r="AR307" s="72"/>
    </row>
    <row r="308" spans="1:44">
      <c r="A308" s="69"/>
      <c r="B308" s="70"/>
      <c r="C308" s="69"/>
      <c r="D308" s="69"/>
      <c r="E308" s="69"/>
      <c r="F308" s="69"/>
      <c r="G308" s="69"/>
      <c r="H308" s="69"/>
      <c r="I308" s="69"/>
      <c r="J308" s="69"/>
      <c r="K308" t="str">
        <f t="shared" si="30"/>
        <v>Not a Lease</v>
      </c>
      <c r="L308" s="69"/>
      <c r="M308" s="69"/>
      <c r="N308" s="69"/>
      <c r="O308" s="69"/>
      <c r="P308" s="69"/>
      <c r="Q308" s="69"/>
      <c r="R308" s="69"/>
      <c r="S308" s="69"/>
      <c r="T308" s="69"/>
      <c r="U308" s="69"/>
      <c r="V308" s="69"/>
      <c r="W308" s="69"/>
      <c r="X308" s="69"/>
      <c r="Y308" s="69"/>
      <c r="Z308">
        <f t="shared" si="33"/>
        <v>0</v>
      </c>
      <c r="AA308">
        <f t="shared" si="31"/>
        <v>0</v>
      </c>
      <c r="AB308">
        <f t="shared" si="32"/>
        <v>0</v>
      </c>
      <c r="AC308">
        <f>+IF(Table3[[#This Row],[Do Both Parties have to agree for extension to occur?]]="Yes",0,IF(AND(W308="Yes",Q308="Yes"),IF(R308=X308,R308,MAX(R308,X308)),IF(AND(W308="Yes",OR(Q308="No",Q308="")),X308,IF(AND(OR(W308="No",W308=""),Q308="Yes"),R308,0))))</f>
        <v>0</v>
      </c>
      <c r="AD308" s="69"/>
      <c r="AE308" s="69"/>
      <c r="AF308" t="str">
        <f>IF(AD308="Monthly",Table3[[#This Row],[Assessed Term]]*12,IF(AD308="quarterly",Table3[[#This Row],[Assessed Term]]*4,IF(AD308="annually",Table3[[#This Row],[Assessed Term]]*1,IF(AD308="weekly",Table3[[#This Row],[Assessed Term]]*52,IF(AD308="semiannually",Table3[[#This Row],[Assessed Term]]*2," ")))))</f>
        <v xml:space="preserve"> </v>
      </c>
      <c r="AG308" s="69"/>
      <c r="AH308" s="69"/>
      <c r="AI308" s="73"/>
      <c r="AJ308" s="73"/>
      <c r="AK308" s="73"/>
      <c r="AL308" s="69"/>
      <c r="AM308" s="69"/>
      <c r="AN308" s="120"/>
      <c r="AO308" s="76" t="b">
        <f>IF(K308 = "Lease",+PV(AN308/(AF308/Table3[[#This Row],[Assessed Term]]),AF308,-AI308,0,IF(AE308="Beginning",1,0)))</f>
        <v>0</v>
      </c>
      <c r="AP308" s="69"/>
      <c r="AQ308" s="76">
        <f t="shared" si="34"/>
        <v>0</v>
      </c>
      <c r="AR308" s="72"/>
    </row>
    <row r="309" spans="1:44">
      <c r="A309" s="69"/>
      <c r="B309" s="70"/>
      <c r="C309" s="69"/>
      <c r="D309" s="69"/>
      <c r="E309" s="69"/>
      <c r="F309" s="69"/>
      <c r="G309" s="69"/>
      <c r="H309" s="69"/>
      <c r="I309" s="69"/>
      <c r="J309" s="69"/>
      <c r="K309" t="str">
        <f t="shared" si="30"/>
        <v>Not a Lease</v>
      </c>
      <c r="L309" s="69"/>
      <c r="M309" s="69"/>
      <c r="N309" s="69"/>
      <c r="O309" s="69"/>
      <c r="P309" s="69"/>
      <c r="Q309" s="69"/>
      <c r="R309" s="69"/>
      <c r="S309" s="69"/>
      <c r="T309" s="69"/>
      <c r="U309" s="69"/>
      <c r="V309" s="69"/>
      <c r="W309" s="69"/>
      <c r="X309" s="69"/>
      <c r="Y309" s="69"/>
      <c r="Z309">
        <f t="shared" si="33"/>
        <v>0</v>
      </c>
      <c r="AA309">
        <f t="shared" si="31"/>
        <v>0</v>
      </c>
      <c r="AB309">
        <f t="shared" si="32"/>
        <v>0</v>
      </c>
      <c r="AC309">
        <f>+IF(Table3[[#This Row],[Do Both Parties have to agree for extension to occur?]]="Yes",0,IF(AND(W309="Yes",Q309="Yes"),IF(R309=X309,R309,MAX(R309,X309)),IF(AND(W309="Yes",OR(Q309="No",Q309="")),X309,IF(AND(OR(W309="No",W309=""),Q309="Yes"),R309,0))))</f>
        <v>0</v>
      </c>
      <c r="AD309" s="69"/>
      <c r="AE309" s="69"/>
      <c r="AF309" t="str">
        <f>IF(AD309="Monthly",Table3[[#This Row],[Assessed Term]]*12,IF(AD309="quarterly",Table3[[#This Row],[Assessed Term]]*4,IF(AD309="annually",Table3[[#This Row],[Assessed Term]]*1,IF(AD309="weekly",Table3[[#This Row],[Assessed Term]]*52,IF(AD309="semiannually",Table3[[#This Row],[Assessed Term]]*2," ")))))</f>
        <v xml:space="preserve"> </v>
      </c>
      <c r="AG309" s="69"/>
      <c r="AH309" s="69"/>
      <c r="AI309" s="73"/>
      <c r="AJ309" s="73"/>
      <c r="AK309" s="73"/>
      <c r="AL309" s="69"/>
      <c r="AM309" s="69"/>
      <c r="AN309" s="120"/>
      <c r="AO309" s="76" t="b">
        <f>IF(K309 = "Lease",+PV(AN309/(AF309/Table3[[#This Row],[Assessed Term]]),AF309,-AI309,0,IF(AE309="Beginning",1,0)))</f>
        <v>0</v>
      </c>
      <c r="AP309" s="69"/>
      <c r="AQ309" s="76">
        <f t="shared" si="34"/>
        <v>0</v>
      </c>
      <c r="AR309" s="72"/>
    </row>
    <row r="310" spans="1:44">
      <c r="A310" s="69"/>
      <c r="B310" s="70"/>
      <c r="C310" s="69"/>
      <c r="D310" s="69"/>
      <c r="E310" s="69"/>
      <c r="F310" s="69"/>
      <c r="G310" s="69"/>
      <c r="H310" s="69"/>
      <c r="I310" s="69"/>
      <c r="J310" s="69"/>
      <c r="K310" t="str">
        <f t="shared" si="30"/>
        <v>Not a Lease</v>
      </c>
      <c r="L310" s="69"/>
      <c r="M310" s="69"/>
      <c r="N310" s="69"/>
      <c r="O310" s="69"/>
      <c r="P310" s="69"/>
      <c r="Q310" s="69"/>
      <c r="R310" s="69"/>
      <c r="S310" s="69"/>
      <c r="T310" s="69"/>
      <c r="U310" s="69"/>
      <c r="V310" s="69"/>
      <c r="W310" s="69"/>
      <c r="X310" s="69"/>
      <c r="Y310" s="69"/>
      <c r="Z310">
        <f t="shared" si="33"/>
        <v>0</v>
      </c>
      <c r="AA310">
        <f t="shared" si="31"/>
        <v>0</v>
      </c>
      <c r="AB310">
        <f t="shared" si="32"/>
        <v>0</v>
      </c>
      <c r="AC310">
        <f>+IF(Table3[[#This Row],[Do Both Parties have to agree for extension to occur?]]="Yes",0,IF(AND(W310="Yes",Q310="Yes"),IF(R310=X310,R310,MAX(R310,X310)),IF(AND(W310="Yes",OR(Q310="No",Q310="")),X310,IF(AND(OR(W310="No",W310=""),Q310="Yes"),R310,0))))</f>
        <v>0</v>
      </c>
      <c r="AD310" s="69"/>
      <c r="AE310" s="69"/>
      <c r="AF310" t="str">
        <f>IF(AD310="Monthly",Table3[[#This Row],[Assessed Term]]*12,IF(AD310="quarterly",Table3[[#This Row],[Assessed Term]]*4,IF(AD310="annually",Table3[[#This Row],[Assessed Term]]*1,IF(AD310="weekly",Table3[[#This Row],[Assessed Term]]*52,IF(AD310="semiannually",Table3[[#This Row],[Assessed Term]]*2," ")))))</f>
        <v xml:space="preserve"> </v>
      </c>
      <c r="AG310" s="69"/>
      <c r="AH310" s="69"/>
      <c r="AI310" s="73"/>
      <c r="AJ310" s="73"/>
      <c r="AK310" s="73"/>
      <c r="AL310" s="69"/>
      <c r="AM310" s="69"/>
      <c r="AN310" s="120"/>
      <c r="AO310" s="76" t="b">
        <f>IF(K310 = "Lease",+PV(AN310/(AF310/Table3[[#This Row],[Assessed Term]]),AF310,-AI310,0,IF(AE310="Beginning",1,0)))</f>
        <v>0</v>
      </c>
      <c r="AP310" s="69"/>
      <c r="AQ310" s="76">
        <f t="shared" si="34"/>
        <v>0</v>
      </c>
      <c r="AR310" s="72"/>
    </row>
    <row r="311" spans="1:44">
      <c r="A311" s="69"/>
      <c r="B311" s="70"/>
      <c r="C311" s="69"/>
      <c r="D311" s="69"/>
      <c r="E311" s="69"/>
      <c r="F311" s="69"/>
      <c r="G311" s="69"/>
      <c r="H311" s="69"/>
      <c r="I311" s="69"/>
      <c r="J311" s="69"/>
      <c r="K311" t="str">
        <f t="shared" si="30"/>
        <v>Not a Lease</v>
      </c>
      <c r="L311" s="69"/>
      <c r="M311" s="69"/>
      <c r="N311" s="69"/>
      <c r="O311" s="69"/>
      <c r="P311" s="69"/>
      <c r="Q311" s="69"/>
      <c r="R311" s="69"/>
      <c r="S311" s="69"/>
      <c r="T311" s="69"/>
      <c r="U311" s="69"/>
      <c r="V311" s="69"/>
      <c r="W311" s="69"/>
      <c r="X311" s="69"/>
      <c r="Y311" s="69"/>
      <c r="Z311">
        <f t="shared" si="33"/>
        <v>0</v>
      </c>
      <c r="AA311">
        <f t="shared" si="31"/>
        <v>0</v>
      </c>
      <c r="AB311">
        <f t="shared" si="32"/>
        <v>0</v>
      </c>
      <c r="AC311">
        <f>+IF(Table3[[#This Row],[Do Both Parties have to agree for extension to occur?]]="Yes",0,IF(AND(W311="Yes",Q311="Yes"),IF(R311=X311,R311,MAX(R311,X311)),IF(AND(W311="Yes",OR(Q311="No",Q311="")),X311,IF(AND(OR(W311="No",W311=""),Q311="Yes"),R311,0))))</f>
        <v>0</v>
      </c>
      <c r="AD311" s="69"/>
      <c r="AE311" s="69"/>
      <c r="AF311" t="str">
        <f>IF(AD311="Monthly",Table3[[#This Row],[Assessed Term]]*12,IF(AD311="quarterly",Table3[[#This Row],[Assessed Term]]*4,IF(AD311="annually",Table3[[#This Row],[Assessed Term]]*1,IF(AD311="weekly",Table3[[#This Row],[Assessed Term]]*52,IF(AD311="semiannually",Table3[[#This Row],[Assessed Term]]*2," ")))))</f>
        <v xml:space="preserve"> </v>
      </c>
      <c r="AG311" s="69"/>
      <c r="AH311" s="69"/>
      <c r="AI311" s="73"/>
      <c r="AJ311" s="73"/>
      <c r="AK311" s="73"/>
      <c r="AL311" s="69"/>
      <c r="AM311" s="69"/>
      <c r="AN311" s="120"/>
      <c r="AO311" s="76" t="b">
        <f>IF(K311 = "Lease",+PV(AN311/(AF311/Table3[[#This Row],[Assessed Term]]),AF311,-AI311,0,IF(AE311="Beginning",1,0)))</f>
        <v>0</v>
      </c>
      <c r="AP311" s="69"/>
      <c r="AQ311" s="76">
        <f t="shared" si="34"/>
        <v>0</v>
      </c>
      <c r="AR311" s="72"/>
    </row>
    <row r="312" spans="1:44">
      <c r="A312" s="69"/>
      <c r="B312" s="70"/>
      <c r="C312" s="69"/>
      <c r="D312" s="69"/>
      <c r="E312" s="69"/>
      <c r="F312" s="69"/>
      <c r="G312" s="69"/>
      <c r="H312" s="69"/>
      <c r="I312" s="69"/>
      <c r="J312" s="69"/>
      <c r="K312" t="str">
        <f t="shared" si="30"/>
        <v>Not a Lease</v>
      </c>
      <c r="L312" s="69"/>
      <c r="M312" s="69"/>
      <c r="N312" s="69"/>
      <c r="O312" s="69"/>
      <c r="P312" s="69"/>
      <c r="Q312" s="69"/>
      <c r="R312" s="69"/>
      <c r="S312" s="69"/>
      <c r="T312" s="69"/>
      <c r="U312" s="69"/>
      <c r="V312" s="69"/>
      <c r="W312" s="69"/>
      <c r="X312" s="69"/>
      <c r="Y312" s="69"/>
      <c r="Z312">
        <f t="shared" si="33"/>
        <v>0</v>
      </c>
      <c r="AA312">
        <f t="shared" si="31"/>
        <v>0</v>
      </c>
      <c r="AB312">
        <f t="shared" si="32"/>
        <v>0</v>
      </c>
      <c r="AC312">
        <f>+IF(Table3[[#This Row],[Do Both Parties have to agree for extension to occur?]]="Yes",0,IF(AND(W312="Yes",Q312="Yes"),IF(R312=X312,R312,MAX(R312,X312)),IF(AND(W312="Yes",OR(Q312="No",Q312="")),X312,IF(AND(OR(W312="No",W312=""),Q312="Yes"),R312,0))))</f>
        <v>0</v>
      </c>
      <c r="AD312" s="69"/>
      <c r="AE312" s="69"/>
      <c r="AF312" t="str">
        <f>IF(AD312="Monthly",Table3[[#This Row],[Assessed Term]]*12,IF(AD312="quarterly",Table3[[#This Row],[Assessed Term]]*4,IF(AD312="annually",Table3[[#This Row],[Assessed Term]]*1,IF(AD312="weekly",Table3[[#This Row],[Assessed Term]]*52,IF(AD312="semiannually",Table3[[#This Row],[Assessed Term]]*2," ")))))</f>
        <v xml:space="preserve"> </v>
      </c>
      <c r="AG312" s="69"/>
      <c r="AH312" s="69"/>
      <c r="AI312" s="73"/>
      <c r="AJ312" s="73"/>
      <c r="AK312" s="73"/>
      <c r="AL312" s="69"/>
      <c r="AM312" s="69"/>
      <c r="AN312" s="120"/>
      <c r="AO312" s="76" t="b">
        <f>IF(K312 = "Lease",+PV(AN312/(AF312/Table3[[#This Row],[Assessed Term]]),AF312,-AI312,0,IF(AE312="Beginning",1,0)))</f>
        <v>0</v>
      </c>
      <c r="AP312" s="69"/>
      <c r="AQ312" s="76">
        <f t="shared" si="34"/>
        <v>0</v>
      </c>
      <c r="AR312" s="72"/>
    </row>
    <row r="313" spans="1:44">
      <c r="A313" s="69"/>
      <c r="B313" s="70"/>
      <c r="C313" s="69"/>
      <c r="D313" s="69"/>
      <c r="E313" s="69"/>
      <c r="F313" s="69"/>
      <c r="G313" s="69"/>
      <c r="H313" s="69"/>
      <c r="I313" s="69"/>
      <c r="J313" s="69"/>
      <c r="K313" t="str">
        <f t="shared" si="30"/>
        <v>Not a Lease</v>
      </c>
      <c r="L313" s="69"/>
      <c r="M313" s="69"/>
      <c r="N313" s="69"/>
      <c r="O313" s="69"/>
      <c r="P313" s="69"/>
      <c r="Q313" s="69"/>
      <c r="R313" s="69"/>
      <c r="S313" s="69"/>
      <c r="T313" s="69"/>
      <c r="U313" s="69"/>
      <c r="V313" s="69"/>
      <c r="W313" s="69"/>
      <c r="X313" s="69"/>
      <c r="Y313" s="69"/>
      <c r="Z313">
        <f t="shared" si="33"/>
        <v>0</v>
      </c>
      <c r="AA313">
        <f t="shared" si="31"/>
        <v>0</v>
      </c>
      <c r="AB313">
        <f t="shared" si="32"/>
        <v>0</v>
      </c>
      <c r="AC313">
        <f>+IF(Table3[[#This Row],[Do Both Parties have to agree for extension to occur?]]="Yes",0,IF(AND(W313="Yes",Q313="Yes"),IF(R313=X313,R313,MAX(R313,X313)),IF(AND(W313="Yes",OR(Q313="No",Q313="")),X313,IF(AND(OR(W313="No",W313=""),Q313="Yes"),R313,0))))</f>
        <v>0</v>
      </c>
      <c r="AD313" s="69"/>
      <c r="AE313" s="69"/>
      <c r="AF313" t="str">
        <f>IF(AD313="Monthly",Table3[[#This Row],[Assessed Term]]*12,IF(AD313="quarterly",Table3[[#This Row],[Assessed Term]]*4,IF(AD313="annually",Table3[[#This Row],[Assessed Term]]*1,IF(AD313="weekly",Table3[[#This Row],[Assessed Term]]*52,IF(AD313="semiannually",Table3[[#This Row],[Assessed Term]]*2," ")))))</f>
        <v xml:space="preserve"> </v>
      </c>
      <c r="AG313" s="69"/>
      <c r="AH313" s="69"/>
      <c r="AI313" s="73"/>
      <c r="AJ313" s="73"/>
      <c r="AK313" s="73"/>
      <c r="AL313" s="69"/>
      <c r="AM313" s="69"/>
      <c r="AN313" s="120"/>
      <c r="AO313" s="76" t="b">
        <f>IF(K313 = "Lease",+PV(AN313/(AF313/Table3[[#This Row],[Assessed Term]]),AF313,-AI313,0,IF(AE313="Beginning",1,0)))</f>
        <v>0</v>
      </c>
      <c r="AP313" s="69"/>
      <c r="AQ313" s="76">
        <f t="shared" si="34"/>
        <v>0</v>
      </c>
      <c r="AR313" s="72"/>
    </row>
    <row r="314" spans="1:44">
      <c r="A314" s="69"/>
      <c r="B314" s="70"/>
      <c r="C314" s="69"/>
      <c r="D314" s="69"/>
      <c r="E314" s="69"/>
      <c r="F314" s="69"/>
      <c r="G314" s="69"/>
      <c r="H314" s="69"/>
      <c r="I314" s="69"/>
      <c r="J314" s="69"/>
      <c r="K314" t="str">
        <f t="shared" si="30"/>
        <v>Not a Lease</v>
      </c>
      <c r="L314" s="69"/>
      <c r="M314" s="69"/>
      <c r="N314" s="69"/>
      <c r="O314" s="69"/>
      <c r="P314" s="69"/>
      <c r="Q314" s="69"/>
      <c r="R314" s="69"/>
      <c r="S314" s="69"/>
      <c r="T314" s="69"/>
      <c r="U314" s="69"/>
      <c r="V314" s="69"/>
      <c r="W314" s="69"/>
      <c r="X314" s="69"/>
      <c r="Y314" s="69"/>
      <c r="Z314">
        <f t="shared" si="33"/>
        <v>0</v>
      </c>
      <c r="AA314">
        <f t="shared" si="31"/>
        <v>0</v>
      </c>
      <c r="AB314">
        <f t="shared" si="32"/>
        <v>0</v>
      </c>
      <c r="AC314">
        <f>+IF(Table3[[#This Row],[Do Both Parties have to agree for extension to occur?]]="Yes",0,IF(AND(W314="Yes",Q314="Yes"),IF(R314=X314,R314,MAX(R314,X314)),IF(AND(W314="Yes",OR(Q314="No",Q314="")),X314,IF(AND(OR(W314="No",W314=""),Q314="Yes"),R314,0))))</f>
        <v>0</v>
      </c>
      <c r="AD314" s="69"/>
      <c r="AE314" s="69"/>
      <c r="AF314" t="str">
        <f>IF(AD314="Monthly",Table3[[#This Row],[Assessed Term]]*12,IF(AD314="quarterly",Table3[[#This Row],[Assessed Term]]*4,IF(AD314="annually",Table3[[#This Row],[Assessed Term]]*1,IF(AD314="weekly",Table3[[#This Row],[Assessed Term]]*52,IF(AD314="semiannually",Table3[[#This Row],[Assessed Term]]*2," ")))))</f>
        <v xml:space="preserve"> </v>
      </c>
      <c r="AG314" s="69"/>
      <c r="AH314" s="69"/>
      <c r="AI314" s="73"/>
      <c r="AJ314" s="73"/>
      <c r="AK314" s="73"/>
      <c r="AL314" s="69"/>
      <c r="AM314" s="69"/>
      <c r="AN314" s="120"/>
      <c r="AO314" s="76" t="b">
        <f>IF(K314 = "Lease",+PV(AN314/(AF314/Table3[[#This Row],[Assessed Term]]),AF314,-AI314,0,IF(AE314="Beginning",1,0)))</f>
        <v>0</v>
      </c>
      <c r="AP314" s="69"/>
      <c r="AQ314" s="76">
        <f t="shared" si="34"/>
        <v>0</v>
      </c>
      <c r="AR314" s="72"/>
    </row>
    <row r="315" spans="1:44">
      <c r="A315" s="69"/>
      <c r="B315" s="70"/>
      <c r="C315" s="69"/>
      <c r="D315" s="69"/>
      <c r="E315" s="69"/>
      <c r="F315" s="69"/>
      <c r="G315" s="69"/>
      <c r="H315" s="69"/>
      <c r="I315" s="69"/>
      <c r="J315" s="69"/>
      <c r="K315" t="str">
        <f t="shared" si="30"/>
        <v>Not a Lease</v>
      </c>
      <c r="L315" s="69"/>
      <c r="M315" s="69"/>
      <c r="N315" s="69"/>
      <c r="O315" s="69"/>
      <c r="P315" s="69"/>
      <c r="Q315" s="69"/>
      <c r="R315" s="69"/>
      <c r="S315" s="69"/>
      <c r="T315" s="69"/>
      <c r="U315" s="69"/>
      <c r="V315" s="69"/>
      <c r="W315" s="69"/>
      <c r="X315" s="69"/>
      <c r="Y315" s="69"/>
      <c r="Z315">
        <f t="shared" si="33"/>
        <v>0</v>
      </c>
      <c r="AA315">
        <f t="shared" si="31"/>
        <v>0</v>
      </c>
      <c r="AB315">
        <f t="shared" si="32"/>
        <v>0</v>
      </c>
      <c r="AC315">
        <f>+IF(Table3[[#This Row],[Do Both Parties have to agree for extension to occur?]]="Yes",0,IF(AND(W315="Yes",Q315="Yes"),IF(R315=X315,R315,MAX(R315,X315)),IF(AND(W315="Yes",OR(Q315="No",Q315="")),X315,IF(AND(OR(W315="No",W315=""),Q315="Yes"),R315,0))))</f>
        <v>0</v>
      </c>
      <c r="AD315" s="69"/>
      <c r="AE315" s="69"/>
      <c r="AF315" t="str">
        <f>IF(AD315="Monthly",Table3[[#This Row],[Assessed Term]]*12,IF(AD315="quarterly",Table3[[#This Row],[Assessed Term]]*4,IF(AD315="annually",Table3[[#This Row],[Assessed Term]]*1,IF(AD315="weekly",Table3[[#This Row],[Assessed Term]]*52,IF(AD315="semiannually",Table3[[#This Row],[Assessed Term]]*2," ")))))</f>
        <v xml:space="preserve"> </v>
      </c>
      <c r="AG315" s="69"/>
      <c r="AH315" s="69"/>
      <c r="AI315" s="73"/>
      <c r="AJ315" s="73"/>
      <c r="AK315" s="73"/>
      <c r="AL315" s="69"/>
      <c r="AM315" s="69"/>
      <c r="AN315" s="120"/>
      <c r="AO315" s="76" t="b">
        <f>IF(K315 = "Lease",+PV(AN315/(AF315/Table3[[#This Row],[Assessed Term]]),AF315,-AI315,0,IF(AE315="Beginning",1,0)))</f>
        <v>0</v>
      </c>
      <c r="AP315" s="69"/>
      <c r="AQ315" s="76">
        <f t="shared" si="34"/>
        <v>0</v>
      </c>
      <c r="AR315" s="72"/>
    </row>
    <row r="316" spans="1:44">
      <c r="A316" s="69"/>
      <c r="B316" s="70"/>
      <c r="C316" s="69"/>
      <c r="D316" s="69"/>
      <c r="E316" s="69"/>
      <c r="F316" s="69"/>
      <c r="G316" s="69"/>
      <c r="H316" s="69"/>
      <c r="I316" s="69"/>
      <c r="J316" s="69"/>
      <c r="K316" t="str">
        <f t="shared" si="30"/>
        <v>Not a Lease</v>
      </c>
      <c r="L316" s="69"/>
      <c r="M316" s="69"/>
      <c r="N316" s="69"/>
      <c r="O316" s="69"/>
      <c r="P316" s="69"/>
      <c r="Q316" s="69"/>
      <c r="R316" s="69"/>
      <c r="S316" s="69"/>
      <c r="T316" s="69"/>
      <c r="U316" s="69"/>
      <c r="V316" s="69"/>
      <c r="W316" s="69"/>
      <c r="X316" s="69"/>
      <c r="Y316" s="69"/>
      <c r="Z316">
        <f t="shared" si="33"/>
        <v>0</v>
      </c>
      <c r="AA316">
        <f t="shared" si="31"/>
        <v>0</v>
      </c>
      <c r="AB316">
        <f t="shared" si="32"/>
        <v>0</v>
      </c>
      <c r="AC316">
        <f>+IF(Table3[[#This Row],[Do Both Parties have to agree for extension to occur?]]="Yes",0,IF(AND(W316="Yes",Q316="Yes"),IF(R316=X316,R316,MAX(R316,X316)),IF(AND(W316="Yes",OR(Q316="No",Q316="")),X316,IF(AND(OR(W316="No",W316=""),Q316="Yes"),R316,0))))</f>
        <v>0</v>
      </c>
      <c r="AD316" s="69"/>
      <c r="AE316" s="69"/>
      <c r="AF316" t="str">
        <f>IF(AD316="Monthly",Table3[[#This Row],[Assessed Term]]*12,IF(AD316="quarterly",Table3[[#This Row],[Assessed Term]]*4,IF(AD316="annually",Table3[[#This Row],[Assessed Term]]*1,IF(AD316="weekly",Table3[[#This Row],[Assessed Term]]*52,IF(AD316="semiannually",Table3[[#This Row],[Assessed Term]]*2," ")))))</f>
        <v xml:space="preserve"> </v>
      </c>
      <c r="AG316" s="69"/>
      <c r="AH316" s="69"/>
      <c r="AI316" s="73"/>
      <c r="AJ316" s="73"/>
      <c r="AK316" s="73"/>
      <c r="AL316" s="69"/>
      <c r="AM316" s="69"/>
      <c r="AN316" s="120"/>
      <c r="AO316" s="76" t="b">
        <f>IF(K316 = "Lease",+PV(AN316/(AF316/Table3[[#This Row],[Assessed Term]]),AF316,-AI316,0,IF(AE316="Beginning",1,0)))</f>
        <v>0</v>
      </c>
      <c r="AP316" s="69"/>
      <c r="AQ316" s="76">
        <f t="shared" si="34"/>
        <v>0</v>
      </c>
      <c r="AR316" s="72"/>
    </row>
    <row r="317" spans="1:44">
      <c r="A317" s="69"/>
      <c r="B317" s="70"/>
      <c r="C317" s="69"/>
      <c r="D317" s="69"/>
      <c r="E317" s="69"/>
      <c r="F317" s="69"/>
      <c r="G317" s="69"/>
      <c r="H317" s="69"/>
      <c r="I317" s="69"/>
      <c r="J317" s="69"/>
      <c r="K317" t="str">
        <f t="shared" si="30"/>
        <v>Not a Lease</v>
      </c>
      <c r="L317" s="69"/>
      <c r="M317" s="69"/>
      <c r="N317" s="69"/>
      <c r="O317" s="69"/>
      <c r="P317" s="69"/>
      <c r="Q317" s="69"/>
      <c r="R317" s="69"/>
      <c r="S317" s="69"/>
      <c r="T317" s="69"/>
      <c r="U317" s="69"/>
      <c r="V317" s="69"/>
      <c r="W317" s="69"/>
      <c r="X317" s="69"/>
      <c r="Y317" s="69"/>
      <c r="Z317">
        <f t="shared" si="33"/>
        <v>0</v>
      </c>
      <c r="AA317">
        <f t="shared" si="31"/>
        <v>0</v>
      </c>
      <c r="AB317">
        <f t="shared" si="32"/>
        <v>0</v>
      </c>
      <c r="AC317">
        <f>+IF(Table3[[#This Row],[Do Both Parties have to agree for extension to occur?]]="Yes",0,IF(AND(W317="Yes",Q317="Yes"),IF(R317=X317,R317,MAX(R317,X317)),IF(AND(W317="Yes",OR(Q317="No",Q317="")),X317,IF(AND(OR(W317="No",W317=""),Q317="Yes"),R317,0))))</f>
        <v>0</v>
      </c>
      <c r="AD317" s="69"/>
      <c r="AE317" s="69"/>
      <c r="AF317" t="str">
        <f>IF(AD317="Monthly",Table3[[#This Row],[Assessed Term]]*12,IF(AD317="quarterly",Table3[[#This Row],[Assessed Term]]*4,IF(AD317="annually",Table3[[#This Row],[Assessed Term]]*1,IF(AD317="weekly",Table3[[#This Row],[Assessed Term]]*52,IF(AD317="semiannually",Table3[[#This Row],[Assessed Term]]*2," ")))))</f>
        <v xml:space="preserve"> </v>
      </c>
      <c r="AG317" s="69"/>
      <c r="AH317" s="69"/>
      <c r="AI317" s="73"/>
      <c r="AJ317" s="73"/>
      <c r="AK317" s="73"/>
      <c r="AL317" s="69"/>
      <c r="AM317" s="69"/>
      <c r="AN317" s="120"/>
      <c r="AO317" s="76" t="b">
        <f>IF(K317 = "Lease",+PV(AN317/(AF317/Table3[[#This Row],[Assessed Term]]),AF317,-AI317,0,IF(AE317="Beginning",1,0)))</f>
        <v>0</v>
      </c>
      <c r="AP317" s="69"/>
      <c r="AQ317" s="76">
        <f t="shared" si="34"/>
        <v>0</v>
      </c>
      <c r="AR317" s="72"/>
    </row>
    <row r="318" spans="1:44">
      <c r="A318" s="69"/>
      <c r="B318" s="70"/>
      <c r="C318" s="69"/>
      <c r="D318" s="69"/>
      <c r="E318" s="69"/>
      <c r="F318" s="69"/>
      <c r="G318" s="69"/>
      <c r="H318" s="69"/>
      <c r="I318" s="69"/>
      <c r="J318" s="69"/>
      <c r="K318" t="str">
        <f t="shared" si="30"/>
        <v>Not a Lease</v>
      </c>
      <c r="L318" s="69"/>
      <c r="M318" s="69"/>
      <c r="N318" s="69"/>
      <c r="O318" s="69"/>
      <c r="P318" s="69"/>
      <c r="Q318" s="69"/>
      <c r="R318" s="69"/>
      <c r="S318" s="69"/>
      <c r="T318" s="69"/>
      <c r="U318" s="69"/>
      <c r="V318" s="69"/>
      <c r="W318" s="69"/>
      <c r="X318" s="69"/>
      <c r="Y318" s="69"/>
      <c r="Z318">
        <f t="shared" si="33"/>
        <v>0</v>
      </c>
      <c r="AA318">
        <f t="shared" si="31"/>
        <v>0</v>
      </c>
      <c r="AB318">
        <f t="shared" si="32"/>
        <v>0</v>
      </c>
      <c r="AC318">
        <f>+IF(Table3[[#This Row],[Do Both Parties have to agree for extension to occur?]]="Yes",0,IF(AND(W318="Yes",Q318="Yes"),IF(R318=X318,R318,MAX(R318,X318)),IF(AND(W318="Yes",OR(Q318="No",Q318="")),X318,IF(AND(OR(W318="No",W318=""),Q318="Yes"),R318,0))))</f>
        <v>0</v>
      </c>
      <c r="AD318" s="69"/>
      <c r="AE318" s="69"/>
      <c r="AF318" t="str">
        <f>IF(AD318="Monthly",Table3[[#This Row],[Assessed Term]]*12,IF(AD318="quarterly",Table3[[#This Row],[Assessed Term]]*4,IF(AD318="annually",Table3[[#This Row],[Assessed Term]]*1,IF(AD318="weekly",Table3[[#This Row],[Assessed Term]]*52,IF(AD318="semiannually",Table3[[#This Row],[Assessed Term]]*2," ")))))</f>
        <v xml:space="preserve"> </v>
      </c>
      <c r="AG318" s="69"/>
      <c r="AH318" s="69"/>
      <c r="AI318" s="73"/>
      <c r="AJ318" s="73"/>
      <c r="AK318" s="73"/>
      <c r="AL318" s="69"/>
      <c r="AM318" s="69"/>
      <c r="AN318" s="120"/>
      <c r="AO318" s="76" t="b">
        <f>IF(K318 = "Lease",+PV(AN318/(AF318/Table3[[#This Row],[Assessed Term]]),AF318,-AI318,0,IF(AE318="Beginning",1,0)))</f>
        <v>0</v>
      </c>
      <c r="AP318" s="69"/>
      <c r="AQ318" s="76">
        <f t="shared" si="34"/>
        <v>0</v>
      </c>
      <c r="AR318" s="72"/>
    </row>
    <row r="319" spans="1:44">
      <c r="A319" s="69"/>
      <c r="B319" s="70"/>
      <c r="C319" s="69"/>
      <c r="D319" s="69"/>
      <c r="E319" s="69"/>
      <c r="F319" s="69"/>
      <c r="G319" s="69"/>
      <c r="H319" s="69"/>
      <c r="I319" s="69"/>
      <c r="J319" s="69"/>
      <c r="K319" t="str">
        <f t="shared" si="30"/>
        <v>Not a Lease</v>
      </c>
      <c r="L319" s="69"/>
      <c r="M319" s="69"/>
      <c r="N319" s="69"/>
      <c r="O319" s="69"/>
      <c r="P319" s="69"/>
      <c r="Q319" s="69"/>
      <c r="R319" s="69"/>
      <c r="S319" s="69"/>
      <c r="T319" s="69"/>
      <c r="U319" s="69"/>
      <c r="V319" s="69"/>
      <c r="W319" s="69"/>
      <c r="X319" s="69"/>
      <c r="Y319" s="69"/>
      <c r="Z319">
        <f t="shared" si="33"/>
        <v>0</v>
      </c>
      <c r="AA319">
        <f t="shared" si="31"/>
        <v>0</v>
      </c>
      <c r="AB319">
        <f t="shared" si="32"/>
        <v>0</v>
      </c>
      <c r="AC319">
        <f>+IF(Table3[[#This Row],[Do Both Parties have to agree for extension to occur?]]="Yes",0,IF(AND(W319="Yes",Q319="Yes"),IF(R319=X319,R319,MAX(R319,X319)),IF(AND(W319="Yes",OR(Q319="No",Q319="")),X319,IF(AND(OR(W319="No",W319=""),Q319="Yes"),R319,0))))</f>
        <v>0</v>
      </c>
      <c r="AD319" s="69"/>
      <c r="AE319" s="69"/>
      <c r="AF319" t="str">
        <f>IF(AD319="Monthly",Table3[[#This Row],[Assessed Term]]*12,IF(AD319="quarterly",Table3[[#This Row],[Assessed Term]]*4,IF(AD319="annually",Table3[[#This Row],[Assessed Term]]*1,IF(AD319="weekly",Table3[[#This Row],[Assessed Term]]*52,IF(AD319="semiannually",Table3[[#This Row],[Assessed Term]]*2," ")))))</f>
        <v xml:space="preserve"> </v>
      </c>
      <c r="AG319" s="69"/>
      <c r="AH319" s="69"/>
      <c r="AI319" s="73"/>
      <c r="AJ319" s="73"/>
      <c r="AK319" s="73"/>
      <c r="AL319" s="69"/>
      <c r="AM319" s="69"/>
      <c r="AN319" s="120"/>
      <c r="AO319" s="76" t="b">
        <f>IF(K319 = "Lease",+PV(AN319/(AF319/Table3[[#This Row],[Assessed Term]]),AF319,-AI319,0,IF(AE319="Beginning",1,0)))</f>
        <v>0</v>
      </c>
      <c r="AP319" s="69"/>
      <c r="AQ319" s="76">
        <f t="shared" si="34"/>
        <v>0</v>
      </c>
      <c r="AR319" s="72"/>
    </row>
    <row r="320" spans="1:44">
      <c r="A320" s="69"/>
      <c r="B320" s="70"/>
      <c r="C320" s="69"/>
      <c r="D320" s="69"/>
      <c r="E320" s="69"/>
      <c r="F320" s="69"/>
      <c r="G320" s="69"/>
      <c r="H320" s="69"/>
      <c r="I320" s="69"/>
      <c r="J320" s="69"/>
      <c r="K320" t="str">
        <f t="shared" si="30"/>
        <v>Not a Lease</v>
      </c>
      <c r="L320" s="69"/>
      <c r="M320" s="69"/>
      <c r="N320" s="69"/>
      <c r="O320" s="69"/>
      <c r="P320" s="69"/>
      <c r="Q320" s="69"/>
      <c r="R320" s="69"/>
      <c r="S320" s="69"/>
      <c r="T320" s="69"/>
      <c r="U320" s="69"/>
      <c r="V320" s="69"/>
      <c r="W320" s="69"/>
      <c r="X320" s="69"/>
      <c r="Y320" s="69"/>
      <c r="Z320">
        <f t="shared" si="33"/>
        <v>0</v>
      </c>
      <c r="AA320">
        <f t="shared" si="31"/>
        <v>0</v>
      </c>
      <c r="AB320">
        <f t="shared" si="32"/>
        <v>0</v>
      </c>
      <c r="AC320">
        <f>+IF(Table3[[#This Row],[Do Both Parties have to agree for extension to occur?]]="Yes",0,IF(AND(W320="Yes",Q320="Yes"),IF(R320=X320,R320,MAX(R320,X320)),IF(AND(W320="Yes",OR(Q320="No",Q320="")),X320,IF(AND(OR(W320="No",W320=""),Q320="Yes"),R320,0))))</f>
        <v>0</v>
      </c>
      <c r="AD320" s="69"/>
      <c r="AE320" s="69"/>
      <c r="AF320" t="str">
        <f>IF(AD320="Monthly",Table3[[#This Row],[Assessed Term]]*12,IF(AD320="quarterly",Table3[[#This Row],[Assessed Term]]*4,IF(AD320="annually",Table3[[#This Row],[Assessed Term]]*1,IF(AD320="weekly",Table3[[#This Row],[Assessed Term]]*52,IF(AD320="semiannually",Table3[[#This Row],[Assessed Term]]*2," ")))))</f>
        <v xml:space="preserve"> </v>
      </c>
      <c r="AG320" s="69"/>
      <c r="AH320" s="69"/>
      <c r="AI320" s="73"/>
      <c r="AJ320" s="73"/>
      <c r="AK320" s="73"/>
      <c r="AL320" s="69"/>
      <c r="AM320" s="69"/>
      <c r="AN320" s="120"/>
      <c r="AO320" s="76" t="b">
        <f>IF(K320 = "Lease",+PV(AN320/(AF320/Table3[[#This Row],[Assessed Term]]),AF320,-AI320,0,IF(AE320="Beginning",1,0)))</f>
        <v>0</v>
      </c>
      <c r="AP320" s="69"/>
      <c r="AQ320" s="76">
        <f t="shared" si="34"/>
        <v>0</v>
      </c>
      <c r="AR320" s="72"/>
    </row>
    <row r="321" spans="1:44">
      <c r="A321" s="69"/>
      <c r="B321" s="70"/>
      <c r="C321" s="69"/>
      <c r="D321" s="69"/>
      <c r="E321" s="69"/>
      <c r="F321" s="69"/>
      <c r="G321" s="69"/>
      <c r="H321" s="69"/>
      <c r="I321" s="69"/>
      <c r="J321" s="69"/>
      <c r="K321" t="str">
        <f t="shared" si="30"/>
        <v>Not a Lease</v>
      </c>
      <c r="L321" s="69"/>
      <c r="M321" s="69"/>
      <c r="N321" s="69"/>
      <c r="O321" s="69"/>
      <c r="P321" s="69"/>
      <c r="Q321" s="69"/>
      <c r="R321" s="69"/>
      <c r="S321" s="69"/>
      <c r="T321" s="69"/>
      <c r="U321" s="69"/>
      <c r="V321" s="69"/>
      <c r="W321" s="69"/>
      <c r="X321" s="69"/>
      <c r="Y321" s="69"/>
      <c r="Z321">
        <f t="shared" si="33"/>
        <v>0</v>
      </c>
      <c r="AA321">
        <f t="shared" si="31"/>
        <v>0</v>
      </c>
      <c r="AB321">
        <f t="shared" si="32"/>
        <v>0</v>
      </c>
      <c r="AC321">
        <f>+IF(Table3[[#This Row],[Do Both Parties have to agree for extension to occur?]]="Yes",0,IF(AND(W321="Yes",Q321="Yes"),IF(R321=X321,R321,MAX(R321,X321)),IF(AND(W321="Yes",OR(Q321="No",Q321="")),X321,IF(AND(OR(W321="No",W321=""),Q321="Yes"),R321,0))))</f>
        <v>0</v>
      </c>
      <c r="AD321" s="69"/>
      <c r="AE321" s="69"/>
      <c r="AF321" t="str">
        <f>IF(AD321="Monthly",Table3[[#This Row],[Assessed Term]]*12,IF(AD321="quarterly",Table3[[#This Row],[Assessed Term]]*4,IF(AD321="annually",Table3[[#This Row],[Assessed Term]]*1,IF(AD321="weekly",Table3[[#This Row],[Assessed Term]]*52,IF(AD321="semiannually",Table3[[#This Row],[Assessed Term]]*2," ")))))</f>
        <v xml:space="preserve"> </v>
      </c>
      <c r="AG321" s="69"/>
      <c r="AH321" s="69"/>
      <c r="AI321" s="73"/>
      <c r="AJ321" s="73"/>
      <c r="AK321" s="73"/>
      <c r="AL321" s="69"/>
      <c r="AM321" s="69"/>
      <c r="AN321" s="120"/>
      <c r="AO321" s="76" t="b">
        <f>IF(K321 = "Lease",+PV(AN321/(AF321/Table3[[#This Row],[Assessed Term]]),AF321,-AI321,0,IF(AE321="Beginning",1,0)))</f>
        <v>0</v>
      </c>
      <c r="AP321" s="69"/>
      <c r="AQ321" s="76">
        <f t="shared" si="34"/>
        <v>0</v>
      </c>
      <c r="AR321" s="72"/>
    </row>
    <row r="322" spans="1:44">
      <c r="A322" s="69"/>
      <c r="B322" s="70"/>
      <c r="C322" s="69"/>
      <c r="D322" s="69"/>
      <c r="E322" s="69"/>
      <c r="F322" s="69"/>
      <c r="G322" s="69"/>
      <c r="H322" s="69"/>
      <c r="I322" s="69"/>
      <c r="J322" s="69"/>
      <c r="K322" t="str">
        <f t="shared" si="30"/>
        <v>Not a Lease</v>
      </c>
      <c r="L322" s="69"/>
      <c r="M322" s="69"/>
      <c r="N322" s="69"/>
      <c r="O322" s="69"/>
      <c r="P322" s="69"/>
      <c r="Q322" s="69"/>
      <c r="R322" s="69"/>
      <c r="S322" s="69"/>
      <c r="T322" s="69"/>
      <c r="U322" s="69"/>
      <c r="V322" s="69"/>
      <c r="W322" s="69"/>
      <c r="X322" s="69"/>
      <c r="Y322" s="69"/>
      <c r="Z322">
        <f t="shared" si="33"/>
        <v>0</v>
      </c>
      <c r="AA322">
        <f t="shared" si="31"/>
        <v>0</v>
      </c>
      <c r="AB322">
        <f t="shared" si="32"/>
        <v>0</v>
      </c>
      <c r="AC322">
        <f>+IF(Table3[[#This Row],[Do Both Parties have to agree for extension to occur?]]="Yes",0,IF(AND(W322="Yes",Q322="Yes"),IF(R322=X322,R322,MAX(R322,X322)),IF(AND(W322="Yes",OR(Q322="No",Q322="")),X322,IF(AND(OR(W322="No",W322=""),Q322="Yes"),R322,0))))</f>
        <v>0</v>
      </c>
      <c r="AD322" s="69"/>
      <c r="AE322" s="69"/>
      <c r="AF322" t="str">
        <f>IF(AD322="Monthly",Table3[[#This Row],[Assessed Term]]*12,IF(AD322="quarterly",Table3[[#This Row],[Assessed Term]]*4,IF(AD322="annually",Table3[[#This Row],[Assessed Term]]*1,IF(AD322="weekly",Table3[[#This Row],[Assessed Term]]*52,IF(AD322="semiannually",Table3[[#This Row],[Assessed Term]]*2," ")))))</f>
        <v xml:space="preserve"> </v>
      </c>
      <c r="AG322" s="69"/>
      <c r="AH322" s="69"/>
      <c r="AI322" s="73"/>
      <c r="AJ322" s="73"/>
      <c r="AK322" s="73"/>
      <c r="AL322" s="69"/>
      <c r="AM322" s="69"/>
      <c r="AN322" s="120"/>
      <c r="AO322" s="76" t="b">
        <f>IF(K322 = "Lease",+PV(AN322/(AF322/Table3[[#This Row],[Assessed Term]]),AF322,-AI322,0,IF(AE322="Beginning",1,0)))</f>
        <v>0</v>
      </c>
      <c r="AP322" s="69"/>
      <c r="AQ322" s="76">
        <f t="shared" si="34"/>
        <v>0</v>
      </c>
      <c r="AR322" s="72"/>
    </row>
    <row r="323" spans="1:44">
      <c r="A323" s="69"/>
      <c r="B323" s="70"/>
      <c r="C323" s="69"/>
      <c r="D323" s="69"/>
      <c r="E323" s="69"/>
      <c r="F323" s="69"/>
      <c r="G323" s="69"/>
      <c r="H323" s="69"/>
      <c r="I323" s="69"/>
      <c r="J323" s="69"/>
      <c r="K323" t="str">
        <f t="shared" si="30"/>
        <v>Not a Lease</v>
      </c>
      <c r="L323" s="69"/>
      <c r="M323" s="69"/>
      <c r="N323" s="69"/>
      <c r="O323" s="69"/>
      <c r="P323" s="69"/>
      <c r="Q323" s="69"/>
      <c r="R323" s="69"/>
      <c r="S323" s="69"/>
      <c r="T323" s="69"/>
      <c r="U323" s="69"/>
      <c r="V323" s="69"/>
      <c r="W323" s="69"/>
      <c r="X323" s="69"/>
      <c r="Y323" s="69"/>
      <c r="Z323">
        <f t="shared" si="33"/>
        <v>0</v>
      </c>
      <c r="AA323">
        <f t="shared" si="31"/>
        <v>0</v>
      </c>
      <c r="AB323">
        <f t="shared" si="32"/>
        <v>0</v>
      </c>
      <c r="AC323">
        <f>+IF(Table3[[#This Row],[Do Both Parties have to agree for extension to occur?]]="Yes",0,IF(AND(W323="Yes",Q323="Yes"),IF(R323=X323,R323,MAX(R323,X323)),IF(AND(W323="Yes",OR(Q323="No",Q323="")),X323,IF(AND(OR(W323="No",W323=""),Q323="Yes"),R323,0))))</f>
        <v>0</v>
      </c>
      <c r="AD323" s="69"/>
      <c r="AE323" s="69"/>
      <c r="AF323" t="str">
        <f>IF(AD323="Monthly",Table3[[#This Row],[Assessed Term]]*12,IF(AD323="quarterly",Table3[[#This Row],[Assessed Term]]*4,IF(AD323="annually",Table3[[#This Row],[Assessed Term]]*1,IF(AD323="weekly",Table3[[#This Row],[Assessed Term]]*52,IF(AD323="semiannually",Table3[[#This Row],[Assessed Term]]*2," ")))))</f>
        <v xml:space="preserve"> </v>
      </c>
      <c r="AG323" s="69"/>
      <c r="AH323" s="69"/>
      <c r="AI323" s="73"/>
      <c r="AJ323" s="73"/>
      <c r="AK323" s="73"/>
      <c r="AL323" s="69"/>
      <c r="AM323" s="69"/>
      <c r="AN323" s="120"/>
      <c r="AO323" s="76" t="b">
        <f>IF(K323 = "Lease",+PV(AN323/(AF323/Table3[[#This Row],[Assessed Term]]),AF323,-AI323,0,IF(AE323="Beginning",1,0)))</f>
        <v>0</v>
      </c>
      <c r="AP323" s="69"/>
      <c r="AQ323" s="76">
        <f t="shared" si="34"/>
        <v>0</v>
      </c>
      <c r="AR323" s="72"/>
    </row>
    <row r="324" spans="1:44">
      <c r="A324" s="69"/>
      <c r="B324" s="70"/>
      <c r="C324" s="69"/>
      <c r="D324" s="69"/>
      <c r="E324" s="69"/>
      <c r="F324" s="69"/>
      <c r="G324" s="69"/>
      <c r="H324" s="69"/>
      <c r="I324" s="69"/>
      <c r="J324" s="69"/>
      <c r="K324" t="str">
        <f t="shared" ref="K324:K387" si="35">+IF(AND(F324="yes",G324="yes", H324="no",E324&lt;&gt;"Intangible Asset",E324&lt;&gt;"Service",I324 ="yes", E324&lt;&gt;"Investment", E324&lt;&gt;"Inventory",J324&lt;&gt;"Yes",E324&lt;&gt;""),"Lease","Not a Lease")</f>
        <v>Not a Lease</v>
      </c>
      <c r="L324" s="69"/>
      <c r="M324" s="69"/>
      <c r="N324" s="69"/>
      <c r="O324" s="69"/>
      <c r="P324" s="69"/>
      <c r="Q324" s="69"/>
      <c r="R324" s="69"/>
      <c r="S324" s="69"/>
      <c r="T324" s="69"/>
      <c r="U324" s="69"/>
      <c r="V324" s="69"/>
      <c r="W324" s="69"/>
      <c r="X324" s="69"/>
      <c r="Y324" s="69"/>
      <c r="Z324">
        <f t="shared" si="33"/>
        <v>0</v>
      </c>
      <c r="AA324">
        <f t="shared" ref="AA324:AA387" si="36">+IF(AND(S324="Yes",M324="Yes"),IF(OR(O324=U324,O324&lt;U324),U324,O324),L324)</f>
        <v>0</v>
      </c>
      <c r="AB324">
        <f t="shared" ref="AB324:AB387" si="37">+IF(M324=S324,MAX(O324,U324),(IF(OR(T324="yes",N324="Yes"),MIN(O324,U324),IF(AND(T324="Yes",N324="No"),U324,IF(AND(T324="No",N324="Yes"),O324,0)))))</f>
        <v>0</v>
      </c>
      <c r="AC324">
        <f>+IF(Table3[[#This Row],[Do Both Parties have to agree for extension to occur?]]="Yes",0,IF(AND(W324="Yes",Q324="Yes"),IF(R324=X324,R324,MAX(R324,X324)),IF(AND(W324="Yes",OR(Q324="No",Q324="")),X324,IF(AND(OR(W324="No",W324=""),Q324="Yes"),R324,0))))</f>
        <v>0</v>
      </c>
      <c r="AD324" s="69"/>
      <c r="AE324" s="69"/>
      <c r="AF324" t="str">
        <f>IF(AD324="Monthly",Table3[[#This Row],[Assessed Term]]*12,IF(AD324="quarterly",Table3[[#This Row],[Assessed Term]]*4,IF(AD324="annually",Table3[[#This Row],[Assessed Term]]*1,IF(AD324="weekly",Table3[[#This Row],[Assessed Term]]*52,IF(AD324="semiannually",Table3[[#This Row],[Assessed Term]]*2," ")))))</f>
        <v xml:space="preserve"> </v>
      </c>
      <c r="AG324" s="69"/>
      <c r="AH324" s="69"/>
      <c r="AI324" s="73"/>
      <c r="AJ324" s="73"/>
      <c r="AK324" s="73"/>
      <c r="AL324" s="69"/>
      <c r="AM324" s="69"/>
      <c r="AN324" s="120"/>
      <c r="AO324" s="76" t="b">
        <f>IF(K324 = "Lease",+PV(AN324/(AF324/Table3[[#This Row],[Assessed Term]]),AF324,-AI324,0,IF(AE324="Beginning",1,0)))</f>
        <v>0</v>
      </c>
      <c r="AP324" s="69"/>
      <c r="AQ324" s="76">
        <f t="shared" si="34"/>
        <v>0</v>
      </c>
      <c r="AR324" s="72"/>
    </row>
    <row r="325" spans="1:44">
      <c r="A325" s="69"/>
      <c r="B325" s="70"/>
      <c r="C325" s="69"/>
      <c r="D325" s="69"/>
      <c r="E325" s="69"/>
      <c r="F325" s="69"/>
      <c r="G325" s="69"/>
      <c r="H325" s="69"/>
      <c r="I325" s="69"/>
      <c r="J325" s="69"/>
      <c r="K325" t="str">
        <f t="shared" si="35"/>
        <v>Not a Lease</v>
      </c>
      <c r="L325" s="69"/>
      <c r="M325" s="69"/>
      <c r="N325" s="69"/>
      <c r="O325" s="69"/>
      <c r="P325" s="69"/>
      <c r="Q325" s="69"/>
      <c r="R325" s="69"/>
      <c r="S325" s="69"/>
      <c r="T325" s="69"/>
      <c r="U325" s="69"/>
      <c r="V325" s="69"/>
      <c r="W325" s="69"/>
      <c r="X325" s="69"/>
      <c r="Y325" s="69"/>
      <c r="Z325">
        <f t="shared" si="33"/>
        <v>0</v>
      </c>
      <c r="AA325">
        <f t="shared" si="36"/>
        <v>0</v>
      </c>
      <c r="AB325">
        <f t="shared" si="37"/>
        <v>0</v>
      </c>
      <c r="AC325">
        <f>+IF(Table3[[#This Row],[Do Both Parties have to agree for extension to occur?]]="Yes",0,IF(AND(W325="Yes",Q325="Yes"),IF(R325=X325,R325,MAX(R325,X325)),IF(AND(W325="Yes",OR(Q325="No",Q325="")),X325,IF(AND(OR(W325="No",W325=""),Q325="Yes"),R325,0))))</f>
        <v>0</v>
      </c>
      <c r="AD325" s="69"/>
      <c r="AE325" s="69"/>
      <c r="AF325" t="str">
        <f>IF(AD325="Monthly",Table3[[#This Row],[Assessed Term]]*12,IF(AD325="quarterly",Table3[[#This Row],[Assessed Term]]*4,IF(AD325="annually",Table3[[#This Row],[Assessed Term]]*1,IF(AD325="weekly",Table3[[#This Row],[Assessed Term]]*52,IF(AD325="semiannually",Table3[[#This Row],[Assessed Term]]*2," ")))))</f>
        <v xml:space="preserve"> </v>
      </c>
      <c r="AG325" s="69"/>
      <c r="AH325" s="69"/>
      <c r="AI325" s="73"/>
      <c r="AJ325" s="73"/>
      <c r="AK325" s="73"/>
      <c r="AL325" s="69"/>
      <c r="AM325" s="69"/>
      <c r="AN325" s="120"/>
      <c r="AO325" s="76" t="b">
        <f>IF(K325 = "Lease",+PV(AN325/(AF325/Table3[[#This Row],[Assessed Term]]),AF325,-AI325,0,IF(AE325="Beginning",1,0)))</f>
        <v>0</v>
      </c>
      <c r="AP325" s="69"/>
      <c r="AQ325" s="76">
        <f t="shared" si="34"/>
        <v>0</v>
      </c>
      <c r="AR325" s="72"/>
    </row>
    <row r="326" spans="1:44">
      <c r="A326" s="69"/>
      <c r="B326" s="70"/>
      <c r="C326" s="69"/>
      <c r="D326" s="69"/>
      <c r="E326" s="69"/>
      <c r="F326" s="69"/>
      <c r="G326" s="69"/>
      <c r="H326" s="69"/>
      <c r="I326" s="69"/>
      <c r="J326" s="69"/>
      <c r="K326" t="str">
        <f t="shared" si="35"/>
        <v>Not a Lease</v>
      </c>
      <c r="L326" s="69"/>
      <c r="M326" s="69"/>
      <c r="N326" s="69"/>
      <c r="O326" s="69"/>
      <c r="P326" s="69"/>
      <c r="Q326" s="69"/>
      <c r="R326" s="69"/>
      <c r="S326" s="69"/>
      <c r="T326" s="69"/>
      <c r="U326" s="69"/>
      <c r="V326" s="69"/>
      <c r="W326" s="69"/>
      <c r="X326" s="69"/>
      <c r="Y326" s="69"/>
      <c r="Z326">
        <f t="shared" si="33"/>
        <v>0</v>
      </c>
      <c r="AA326">
        <f t="shared" si="36"/>
        <v>0</v>
      </c>
      <c r="AB326">
        <f t="shared" si="37"/>
        <v>0</v>
      </c>
      <c r="AC326">
        <f>+IF(Table3[[#This Row],[Do Both Parties have to agree for extension to occur?]]="Yes",0,IF(AND(W326="Yes",Q326="Yes"),IF(R326=X326,R326,MAX(R326,X326)),IF(AND(W326="Yes",OR(Q326="No",Q326="")),X326,IF(AND(OR(W326="No",W326=""),Q326="Yes"),R326,0))))</f>
        <v>0</v>
      </c>
      <c r="AD326" s="69"/>
      <c r="AE326" s="69"/>
      <c r="AF326" t="str">
        <f>IF(AD326="Monthly",Table3[[#This Row],[Assessed Term]]*12,IF(AD326="quarterly",Table3[[#This Row],[Assessed Term]]*4,IF(AD326="annually",Table3[[#This Row],[Assessed Term]]*1,IF(AD326="weekly",Table3[[#This Row],[Assessed Term]]*52,IF(AD326="semiannually",Table3[[#This Row],[Assessed Term]]*2," ")))))</f>
        <v xml:space="preserve"> </v>
      </c>
      <c r="AG326" s="69"/>
      <c r="AH326" s="69"/>
      <c r="AI326" s="73"/>
      <c r="AJ326" s="73"/>
      <c r="AK326" s="73"/>
      <c r="AL326" s="69"/>
      <c r="AM326" s="69"/>
      <c r="AN326" s="120"/>
      <c r="AO326" s="76" t="b">
        <f>IF(K326 = "Lease",+PV(AN326/(AF326/Table3[[#This Row],[Assessed Term]]),AF326,-AI326,0,IF(AE326="Beginning",1,0)))</f>
        <v>0</v>
      </c>
      <c r="AP326" s="69"/>
      <c r="AQ326" s="76">
        <f t="shared" si="34"/>
        <v>0</v>
      </c>
      <c r="AR326" s="72"/>
    </row>
    <row r="327" spans="1:44">
      <c r="A327" s="69"/>
      <c r="B327" s="70"/>
      <c r="C327" s="69"/>
      <c r="D327" s="69"/>
      <c r="E327" s="69"/>
      <c r="F327" s="69"/>
      <c r="G327" s="69"/>
      <c r="H327" s="69"/>
      <c r="I327" s="69"/>
      <c r="J327" s="69"/>
      <c r="K327" t="str">
        <f t="shared" si="35"/>
        <v>Not a Lease</v>
      </c>
      <c r="L327" s="69"/>
      <c r="M327" s="69"/>
      <c r="N327" s="69"/>
      <c r="O327" s="69"/>
      <c r="P327" s="69"/>
      <c r="Q327" s="69"/>
      <c r="R327" s="69"/>
      <c r="S327" s="69"/>
      <c r="T327" s="69"/>
      <c r="U327" s="69"/>
      <c r="V327" s="69"/>
      <c r="W327" s="69"/>
      <c r="X327" s="69"/>
      <c r="Y327" s="69"/>
      <c r="Z327">
        <f t="shared" si="33"/>
        <v>0</v>
      </c>
      <c r="AA327">
        <f t="shared" si="36"/>
        <v>0</v>
      </c>
      <c r="AB327">
        <f t="shared" si="37"/>
        <v>0</v>
      </c>
      <c r="AC327">
        <f>+IF(Table3[[#This Row],[Do Both Parties have to agree for extension to occur?]]="Yes",0,IF(AND(W327="Yes",Q327="Yes"),IF(R327=X327,R327,MAX(R327,X327)),IF(AND(W327="Yes",OR(Q327="No",Q327="")),X327,IF(AND(OR(W327="No",W327=""),Q327="Yes"),R327,0))))</f>
        <v>0</v>
      </c>
      <c r="AD327" s="69"/>
      <c r="AE327" s="69"/>
      <c r="AF327" t="str">
        <f>IF(AD327="Monthly",Table3[[#This Row],[Assessed Term]]*12,IF(AD327="quarterly",Table3[[#This Row],[Assessed Term]]*4,IF(AD327="annually",Table3[[#This Row],[Assessed Term]]*1,IF(AD327="weekly",Table3[[#This Row],[Assessed Term]]*52,IF(AD327="semiannually",Table3[[#This Row],[Assessed Term]]*2," ")))))</f>
        <v xml:space="preserve"> </v>
      </c>
      <c r="AG327" s="69"/>
      <c r="AH327" s="69"/>
      <c r="AI327" s="73"/>
      <c r="AJ327" s="73"/>
      <c r="AK327" s="73"/>
      <c r="AL327" s="69"/>
      <c r="AM327" s="69"/>
      <c r="AN327" s="120"/>
      <c r="AO327" s="76" t="b">
        <f>IF(K327 = "Lease",+PV(AN327/(AF327/Table3[[#This Row],[Assessed Term]]),AF327,-AI327,0,IF(AE327="Beginning",1,0)))</f>
        <v>0</v>
      </c>
      <c r="AP327" s="69"/>
      <c r="AQ327" s="76">
        <f t="shared" si="34"/>
        <v>0</v>
      </c>
      <c r="AR327" s="72"/>
    </row>
    <row r="328" spans="1:44">
      <c r="A328" s="69"/>
      <c r="B328" s="70"/>
      <c r="C328" s="69"/>
      <c r="D328" s="69"/>
      <c r="E328" s="69"/>
      <c r="F328" s="69"/>
      <c r="G328" s="69"/>
      <c r="H328" s="69"/>
      <c r="I328" s="69"/>
      <c r="J328" s="69"/>
      <c r="K328" t="str">
        <f t="shared" si="35"/>
        <v>Not a Lease</v>
      </c>
      <c r="L328" s="69"/>
      <c r="M328" s="69"/>
      <c r="N328" s="69"/>
      <c r="O328" s="69"/>
      <c r="P328" s="69"/>
      <c r="Q328" s="69"/>
      <c r="R328" s="69"/>
      <c r="S328" s="69"/>
      <c r="T328" s="69"/>
      <c r="U328" s="69"/>
      <c r="V328" s="69"/>
      <c r="W328" s="69"/>
      <c r="X328" s="69"/>
      <c r="Y328" s="69"/>
      <c r="Z328">
        <f t="shared" si="33"/>
        <v>0</v>
      </c>
      <c r="AA328">
        <f t="shared" si="36"/>
        <v>0</v>
      </c>
      <c r="AB328">
        <f t="shared" si="37"/>
        <v>0</v>
      </c>
      <c r="AC328">
        <f>+IF(Table3[[#This Row],[Do Both Parties have to agree for extension to occur?]]="Yes",0,IF(AND(W328="Yes",Q328="Yes"),IF(R328=X328,R328,MAX(R328,X328)),IF(AND(W328="Yes",OR(Q328="No",Q328="")),X328,IF(AND(OR(W328="No",W328=""),Q328="Yes"),R328,0))))</f>
        <v>0</v>
      </c>
      <c r="AD328" s="69"/>
      <c r="AE328" s="69"/>
      <c r="AF328" t="str">
        <f>IF(AD328="Monthly",Table3[[#This Row],[Assessed Term]]*12,IF(AD328="quarterly",Table3[[#This Row],[Assessed Term]]*4,IF(AD328="annually",Table3[[#This Row],[Assessed Term]]*1,IF(AD328="weekly",Table3[[#This Row],[Assessed Term]]*52,IF(AD328="semiannually",Table3[[#This Row],[Assessed Term]]*2," ")))))</f>
        <v xml:space="preserve"> </v>
      </c>
      <c r="AG328" s="69"/>
      <c r="AH328" s="69"/>
      <c r="AI328" s="73"/>
      <c r="AJ328" s="73"/>
      <c r="AK328" s="73"/>
      <c r="AL328" s="69"/>
      <c r="AM328" s="69"/>
      <c r="AN328" s="120"/>
      <c r="AO328" s="76" t="b">
        <f>IF(K328 = "Lease",+PV(AN328/(AF328/Table3[[#This Row],[Assessed Term]]),AF328,-AI328,0,IF(AE328="Beginning",1,0)))</f>
        <v>0</v>
      </c>
      <c r="AP328" s="69"/>
      <c r="AQ328" s="76">
        <f t="shared" si="34"/>
        <v>0</v>
      </c>
      <c r="AR328" s="72"/>
    </row>
    <row r="329" spans="1:44">
      <c r="A329" s="69"/>
      <c r="B329" s="70"/>
      <c r="C329" s="69"/>
      <c r="D329" s="69"/>
      <c r="E329" s="69"/>
      <c r="F329" s="69"/>
      <c r="G329" s="69"/>
      <c r="H329" s="69"/>
      <c r="I329" s="69"/>
      <c r="J329" s="69"/>
      <c r="K329" t="str">
        <f t="shared" si="35"/>
        <v>Not a Lease</v>
      </c>
      <c r="L329" s="69"/>
      <c r="M329" s="69"/>
      <c r="N329" s="69"/>
      <c r="O329" s="69"/>
      <c r="P329" s="69"/>
      <c r="Q329" s="69"/>
      <c r="R329" s="69"/>
      <c r="S329" s="69"/>
      <c r="T329" s="69"/>
      <c r="U329" s="69"/>
      <c r="V329" s="69"/>
      <c r="W329" s="69"/>
      <c r="X329" s="69"/>
      <c r="Y329" s="69"/>
      <c r="Z329">
        <f t="shared" si="33"/>
        <v>0</v>
      </c>
      <c r="AA329">
        <f t="shared" si="36"/>
        <v>0</v>
      </c>
      <c r="AB329">
        <f t="shared" si="37"/>
        <v>0</v>
      </c>
      <c r="AC329">
        <f>+IF(Table3[[#This Row],[Do Both Parties have to agree for extension to occur?]]="Yes",0,IF(AND(W329="Yes",Q329="Yes"),IF(R329=X329,R329,MAX(R329,X329)),IF(AND(W329="Yes",OR(Q329="No",Q329="")),X329,IF(AND(OR(W329="No",W329=""),Q329="Yes"),R329,0))))</f>
        <v>0</v>
      </c>
      <c r="AD329" s="69"/>
      <c r="AE329" s="69"/>
      <c r="AF329" t="str">
        <f>IF(AD329="Monthly",Table3[[#This Row],[Assessed Term]]*12,IF(AD329="quarterly",Table3[[#This Row],[Assessed Term]]*4,IF(AD329="annually",Table3[[#This Row],[Assessed Term]]*1,IF(AD329="weekly",Table3[[#This Row],[Assessed Term]]*52,IF(AD329="semiannually",Table3[[#This Row],[Assessed Term]]*2," ")))))</f>
        <v xml:space="preserve"> </v>
      </c>
      <c r="AG329" s="69"/>
      <c r="AH329" s="69"/>
      <c r="AI329" s="73"/>
      <c r="AJ329" s="73"/>
      <c r="AK329" s="73"/>
      <c r="AL329" s="69"/>
      <c r="AM329" s="69"/>
      <c r="AN329" s="120"/>
      <c r="AO329" s="76" t="b">
        <f>IF(K329 = "Lease",+PV(AN329/(AF329/Table3[[#This Row],[Assessed Term]]),AF329,-AI329,0,IF(AE329="Beginning",1,0)))</f>
        <v>0</v>
      </c>
      <c r="AP329" s="69"/>
      <c r="AQ329" s="76">
        <f t="shared" si="34"/>
        <v>0</v>
      </c>
      <c r="AR329" s="72"/>
    </row>
    <row r="330" spans="1:44">
      <c r="A330" s="69"/>
      <c r="B330" s="70"/>
      <c r="C330" s="69"/>
      <c r="D330" s="69"/>
      <c r="E330" s="69"/>
      <c r="F330" s="69"/>
      <c r="G330" s="69"/>
      <c r="H330" s="69"/>
      <c r="I330" s="69"/>
      <c r="J330" s="69"/>
      <c r="K330" t="str">
        <f t="shared" si="35"/>
        <v>Not a Lease</v>
      </c>
      <c r="L330" s="69"/>
      <c r="M330" s="69"/>
      <c r="N330" s="69"/>
      <c r="O330" s="69"/>
      <c r="P330" s="69"/>
      <c r="Q330" s="69"/>
      <c r="R330" s="69"/>
      <c r="S330" s="69"/>
      <c r="T330" s="69"/>
      <c r="U330" s="69"/>
      <c r="V330" s="69"/>
      <c r="W330" s="69"/>
      <c r="X330" s="69"/>
      <c r="Y330" s="69"/>
      <c r="Z330">
        <f t="shared" si="33"/>
        <v>0</v>
      </c>
      <c r="AA330">
        <f t="shared" si="36"/>
        <v>0</v>
      </c>
      <c r="AB330">
        <f t="shared" si="37"/>
        <v>0</v>
      </c>
      <c r="AC330">
        <f>+IF(Table3[[#This Row],[Do Both Parties have to agree for extension to occur?]]="Yes",0,IF(AND(W330="Yes",Q330="Yes"),IF(R330=X330,R330,MAX(R330,X330)),IF(AND(W330="Yes",OR(Q330="No",Q330="")),X330,IF(AND(OR(W330="No",W330=""),Q330="Yes"),R330,0))))</f>
        <v>0</v>
      </c>
      <c r="AD330" s="69"/>
      <c r="AE330" s="69"/>
      <c r="AF330" t="str">
        <f>IF(AD330="Monthly",Table3[[#This Row],[Assessed Term]]*12,IF(AD330="quarterly",Table3[[#This Row],[Assessed Term]]*4,IF(AD330="annually",Table3[[#This Row],[Assessed Term]]*1,IF(AD330="weekly",Table3[[#This Row],[Assessed Term]]*52,IF(AD330="semiannually",Table3[[#This Row],[Assessed Term]]*2," ")))))</f>
        <v xml:space="preserve"> </v>
      </c>
      <c r="AG330" s="69"/>
      <c r="AH330" s="69"/>
      <c r="AI330" s="73"/>
      <c r="AJ330" s="73"/>
      <c r="AK330" s="73"/>
      <c r="AL330" s="69"/>
      <c r="AM330" s="69"/>
      <c r="AN330" s="120"/>
      <c r="AO330" s="76" t="b">
        <f>IF(K330 = "Lease",+PV(AN330/(AF330/Table3[[#This Row],[Assessed Term]]),AF330,-AI330,0,IF(AE330="Beginning",1,0)))</f>
        <v>0</v>
      </c>
      <c r="AP330" s="69"/>
      <c r="AQ330" s="76">
        <f t="shared" si="34"/>
        <v>0</v>
      </c>
      <c r="AR330" s="72"/>
    </row>
    <row r="331" spans="1:44">
      <c r="A331" s="69"/>
      <c r="B331" s="70"/>
      <c r="C331" s="69"/>
      <c r="D331" s="69"/>
      <c r="E331" s="69"/>
      <c r="F331" s="69"/>
      <c r="G331" s="69"/>
      <c r="H331" s="69"/>
      <c r="I331" s="69"/>
      <c r="J331" s="69"/>
      <c r="K331" t="str">
        <f t="shared" si="35"/>
        <v>Not a Lease</v>
      </c>
      <c r="L331" s="69"/>
      <c r="M331" s="69"/>
      <c r="N331" s="69"/>
      <c r="O331" s="69"/>
      <c r="P331" s="69"/>
      <c r="Q331" s="69"/>
      <c r="R331" s="69"/>
      <c r="S331" s="69"/>
      <c r="T331" s="69"/>
      <c r="U331" s="69"/>
      <c r="V331" s="69"/>
      <c r="W331" s="69"/>
      <c r="X331" s="69"/>
      <c r="Y331" s="69"/>
      <c r="Z331">
        <f t="shared" si="33"/>
        <v>0</v>
      </c>
      <c r="AA331">
        <f t="shared" si="36"/>
        <v>0</v>
      </c>
      <c r="AB331">
        <f t="shared" si="37"/>
        <v>0</v>
      </c>
      <c r="AC331">
        <f>+IF(Table3[[#This Row],[Do Both Parties have to agree for extension to occur?]]="Yes",0,IF(AND(W331="Yes",Q331="Yes"),IF(R331=X331,R331,MAX(R331,X331)),IF(AND(W331="Yes",OR(Q331="No",Q331="")),X331,IF(AND(OR(W331="No",W331=""),Q331="Yes"),R331,0))))</f>
        <v>0</v>
      </c>
      <c r="AD331" s="69"/>
      <c r="AE331" s="69"/>
      <c r="AF331" t="str">
        <f>IF(AD331="Monthly",Table3[[#This Row],[Assessed Term]]*12,IF(AD331="quarterly",Table3[[#This Row],[Assessed Term]]*4,IF(AD331="annually",Table3[[#This Row],[Assessed Term]]*1,IF(AD331="weekly",Table3[[#This Row],[Assessed Term]]*52,IF(AD331="semiannually",Table3[[#This Row],[Assessed Term]]*2," ")))))</f>
        <v xml:space="preserve"> </v>
      </c>
      <c r="AG331" s="69"/>
      <c r="AH331" s="69"/>
      <c r="AI331" s="73"/>
      <c r="AJ331" s="73"/>
      <c r="AK331" s="73"/>
      <c r="AL331" s="69"/>
      <c r="AM331" s="69"/>
      <c r="AN331" s="120"/>
      <c r="AO331" s="76" t="b">
        <f>IF(K331 = "Lease",+PV(AN331/(AF331/Table3[[#This Row],[Assessed Term]]),AF331,-AI331,0,IF(AE331="Beginning",1,0)))</f>
        <v>0</v>
      </c>
      <c r="AP331" s="69"/>
      <c r="AQ331" s="76">
        <f t="shared" si="34"/>
        <v>0</v>
      </c>
      <c r="AR331" s="72"/>
    </row>
    <row r="332" spans="1:44">
      <c r="A332" s="69"/>
      <c r="B332" s="70"/>
      <c r="C332" s="69"/>
      <c r="D332" s="69"/>
      <c r="E332" s="69"/>
      <c r="F332" s="69"/>
      <c r="G332" s="69"/>
      <c r="H332" s="69"/>
      <c r="I332" s="69"/>
      <c r="J332" s="69"/>
      <c r="K332" t="str">
        <f t="shared" si="35"/>
        <v>Not a Lease</v>
      </c>
      <c r="L332" s="69"/>
      <c r="M332" s="69"/>
      <c r="N332" s="69"/>
      <c r="O332" s="69"/>
      <c r="P332" s="69"/>
      <c r="Q332" s="69"/>
      <c r="R332" s="69"/>
      <c r="S332" s="69"/>
      <c r="T332" s="69"/>
      <c r="U332" s="69"/>
      <c r="V332" s="69"/>
      <c r="W332" s="69"/>
      <c r="X332" s="69"/>
      <c r="Y332" s="69"/>
      <c r="Z332">
        <f t="shared" si="33"/>
        <v>0</v>
      </c>
      <c r="AA332">
        <f t="shared" si="36"/>
        <v>0</v>
      </c>
      <c r="AB332">
        <f t="shared" si="37"/>
        <v>0</v>
      </c>
      <c r="AC332">
        <f>+IF(Table3[[#This Row],[Do Both Parties have to agree for extension to occur?]]="Yes",0,IF(AND(W332="Yes",Q332="Yes"),IF(R332=X332,R332,MAX(R332,X332)),IF(AND(W332="Yes",OR(Q332="No",Q332="")),X332,IF(AND(OR(W332="No",W332=""),Q332="Yes"),R332,0))))</f>
        <v>0</v>
      </c>
      <c r="AD332" s="69"/>
      <c r="AE332" s="69"/>
      <c r="AF332" t="str">
        <f>IF(AD332="Monthly",Table3[[#This Row],[Assessed Term]]*12,IF(AD332="quarterly",Table3[[#This Row],[Assessed Term]]*4,IF(AD332="annually",Table3[[#This Row],[Assessed Term]]*1,IF(AD332="weekly",Table3[[#This Row],[Assessed Term]]*52,IF(AD332="semiannually",Table3[[#This Row],[Assessed Term]]*2," ")))))</f>
        <v xml:space="preserve"> </v>
      </c>
      <c r="AG332" s="69"/>
      <c r="AH332" s="69"/>
      <c r="AI332" s="73"/>
      <c r="AJ332" s="73"/>
      <c r="AK332" s="73"/>
      <c r="AL332" s="69"/>
      <c r="AM332" s="69"/>
      <c r="AN332" s="120"/>
      <c r="AO332" s="76" t="b">
        <f>IF(K332 = "Lease",+PV(AN332/(AF332/Table3[[#This Row],[Assessed Term]]),AF332,-AI332,0,IF(AE332="Beginning",1,0)))</f>
        <v>0</v>
      </c>
      <c r="AP332" s="69"/>
      <c r="AQ332" s="76">
        <f t="shared" si="34"/>
        <v>0</v>
      </c>
      <c r="AR332" s="72"/>
    </row>
    <row r="333" spans="1:44">
      <c r="A333" s="69"/>
      <c r="B333" s="70"/>
      <c r="C333" s="69"/>
      <c r="D333" s="69"/>
      <c r="E333" s="69"/>
      <c r="F333" s="69"/>
      <c r="G333" s="69"/>
      <c r="H333" s="69"/>
      <c r="I333" s="69"/>
      <c r="J333" s="69"/>
      <c r="K333" t="str">
        <f t="shared" si="35"/>
        <v>Not a Lease</v>
      </c>
      <c r="L333" s="69"/>
      <c r="M333" s="69"/>
      <c r="N333" s="69"/>
      <c r="O333" s="69"/>
      <c r="P333" s="69"/>
      <c r="Q333" s="69"/>
      <c r="R333" s="69"/>
      <c r="S333" s="69"/>
      <c r="T333" s="69"/>
      <c r="U333" s="69"/>
      <c r="V333" s="69"/>
      <c r="W333" s="69"/>
      <c r="X333" s="69"/>
      <c r="Y333" s="69"/>
      <c r="Z333">
        <f t="shared" si="33"/>
        <v>0</v>
      </c>
      <c r="AA333">
        <f t="shared" si="36"/>
        <v>0</v>
      </c>
      <c r="AB333">
        <f t="shared" si="37"/>
        <v>0</v>
      </c>
      <c r="AC333">
        <f>+IF(Table3[[#This Row],[Do Both Parties have to agree for extension to occur?]]="Yes",0,IF(AND(W333="Yes",Q333="Yes"),IF(R333=X333,R333,MAX(R333,X333)),IF(AND(W333="Yes",OR(Q333="No",Q333="")),X333,IF(AND(OR(W333="No",W333=""),Q333="Yes"),R333,0))))</f>
        <v>0</v>
      </c>
      <c r="AD333" s="69"/>
      <c r="AE333" s="69"/>
      <c r="AF333" t="str">
        <f>IF(AD333="Monthly",Table3[[#This Row],[Assessed Term]]*12,IF(AD333="quarterly",Table3[[#This Row],[Assessed Term]]*4,IF(AD333="annually",Table3[[#This Row],[Assessed Term]]*1,IF(AD333="weekly",Table3[[#This Row],[Assessed Term]]*52,IF(AD333="semiannually",Table3[[#This Row],[Assessed Term]]*2," ")))))</f>
        <v xml:space="preserve"> </v>
      </c>
      <c r="AG333" s="69"/>
      <c r="AH333" s="69"/>
      <c r="AI333" s="73"/>
      <c r="AJ333" s="73"/>
      <c r="AK333" s="73"/>
      <c r="AL333" s="69"/>
      <c r="AM333" s="69"/>
      <c r="AN333" s="120"/>
      <c r="AO333" s="76" t="b">
        <f>IF(K333 = "Lease",+PV(AN333/(AF333/Table3[[#This Row],[Assessed Term]]),AF333,-AI333,0,IF(AE333="Beginning",1,0)))</f>
        <v>0</v>
      </c>
      <c r="AP333" s="69"/>
      <c r="AQ333" s="76">
        <f t="shared" si="34"/>
        <v>0</v>
      </c>
      <c r="AR333" s="72"/>
    </row>
    <row r="334" spans="1:44">
      <c r="A334" s="69"/>
      <c r="B334" s="70"/>
      <c r="C334" s="69"/>
      <c r="D334" s="69"/>
      <c r="E334" s="69"/>
      <c r="F334" s="69"/>
      <c r="G334" s="69"/>
      <c r="H334" s="69"/>
      <c r="I334" s="69"/>
      <c r="J334" s="69"/>
      <c r="K334" t="str">
        <f t="shared" si="35"/>
        <v>Not a Lease</v>
      </c>
      <c r="L334" s="69"/>
      <c r="M334" s="69"/>
      <c r="N334" s="69"/>
      <c r="O334" s="69"/>
      <c r="P334" s="69"/>
      <c r="Q334" s="69"/>
      <c r="R334" s="69"/>
      <c r="S334" s="69"/>
      <c r="T334" s="69"/>
      <c r="U334" s="69"/>
      <c r="V334" s="69"/>
      <c r="W334" s="69"/>
      <c r="X334" s="69"/>
      <c r="Y334" s="69"/>
      <c r="Z334">
        <f t="shared" si="33"/>
        <v>0</v>
      </c>
      <c r="AA334">
        <f t="shared" si="36"/>
        <v>0</v>
      </c>
      <c r="AB334">
        <f t="shared" si="37"/>
        <v>0</v>
      </c>
      <c r="AC334">
        <f>+IF(Table3[[#This Row],[Do Both Parties have to agree for extension to occur?]]="Yes",0,IF(AND(W334="Yes",Q334="Yes"),IF(R334=X334,R334,MAX(R334,X334)),IF(AND(W334="Yes",OR(Q334="No",Q334="")),X334,IF(AND(OR(W334="No",W334=""),Q334="Yes"),R334,0))))</f>
        <v>0</v>
      </c>
      <c r="AD334" s="69"/>
      <c r="AE334" s="69"/>
      <c r="AF334" t="str">
        <f>IF(AD334="Monthly",Table3[[#This Row],[Assessed Term]]*12,IF(AD334="quarterly",Table3[[#This Row],[Assessed Term]]*4,IF(AD334="annually",Table3[[#This Row],[Assessed Term]]*1,IF(AD334="weekly",Table3[[#This Row],[Assessed Term]]*52,IF(AD334="semiannually",Table3[[#This Row],[Assessed Term]]*2," ")))))</f>
        <v xml:space="preserve"> </v>
      </c>
      <c r="AG334" s="69"/>
      <c r="AH334" s="69"/>
      <c r="AI334" s="73"/>
      <c r="AJ334" s="73"/>
      <c r="AK334" s="73"/>
      <c r="AL334" s="69"/>
      <c r="AM334" s="69"/>
      <c r="AN334" s="120"/>
      <c r="AO334" s="76" t="b">
        <f>IF(K334 = "Lease",+PV(AN334/(AF334/Table3[[#This Row],[Assessed Term]]),AF334,-AI334,0,IF(AE334="Beginning",1,0)))</f>
        <v>0</v>
      </c>
      <c r="AP334" s="69"/>
      <c r="AQ334" s="76">
        <f t="shared" si="34"/>
        <v>0</v>
      </c>
      <c r="AR334" s="72"/>
    </row>
    <row r="335" spans="1:44">
      <c r="A335" s="69"/>
      <c r="B335" s="70"/>
      <c r="C335" s="69"/>
      <c r="D335" s="69"/>
      <c r="E335" s="69"/>
      <c r="F335" s="69"/>
      <c r="G335" s="69"/>
      <c r="H335" s="69"/>
      <c r="I335" s="69"/>
      <c r="J335" s="69"/>
      <c r="K335" t="str">
        <f t="shared" si="35"/>
        <v>Not a Lease</v>
      </c>
      <c r="L335" s="69"/>
      <c r="M335" s="69"/>
      <c r="N335" s="69"/>
      <c r="O335" s="69"/>
      <c r="P335" s="69"/>
      <c r="Q335" s="69"/>
      <c r="R335" s="69"/>
      <c r="S335" s="69"/>
      <c r="T335" s="69"/>
      <c r="U335" s="69"/>
      <c r="V335" s="69"/>
      <c r="W335" s="69"/>
      <c r="X335" s="69"/>
      <c r="Y335" s="69"/>
      <c r="Z335">
        <f t="shared" si="33"/>
        <v>0</v>
      </c>
      <c r="AA335">
        <f t="shared" si="36"/>
        <v>0</v>
      </c>
      <c r="AB335">
        <f t="shared" si="37"/>
        <v>0</v>
      </c>
      <c r="AC335">
        <f>+IF(Table3[[#This Row],[Do Both Parties have to agree for extension to occur?]]="Yes",0,IF(AND(W335="Yes",Q335="Yes"),IF(R335=X335,R335,MAX(R335,X335)),IF(AND(W335="Yes",OR(Q335="No",Q335="")),X335,IF(AND(OR(W335="No",W335=""),Q335="Yes"),R335,0))))</f>
        <v>0</v>
      </c>
      <c r="AD335" s="69"/>
      <c r="AE335" s="69"/>
      <c r="AF335" t="str">
        <f>IF(AD335="Monthly",Table3[[#This Row],[Assessed Term]]*12,IF(AD335="quarterly",Table3[[#This Row],[Assessed Term]]*4,IF(AD335="annually",Table3[[#This Row],[Assessed Term]]*1,IF(AD335="weekly",Table3[[#This Row],[Assessed Term]]*52,IF(AD335="semiannually",Table3[[#This Row],[Assessed Term]]*2," ")))))</f>
        <v xml:space="preserve"> </v>
      </c>
      <c r="AG335" s="69"/>
      <c r="AH335" s="69"/>
      <c r="AI335" s="73"/>
      <c r="AJ335" s="73"/>
      <c r="AK335" s="73"/>
      <c r="AL335" s="69"/>
      <c r="AM335" s="69"/>
      <c r="AN335" s="120"/>
      <c r="AO335" s="76" t="b">
        <f>IF(K335 = "Lease",+PV(AN335/(AF335/Table3[[#This Row],[Assessed Term]]),AF335,-AI335,0,IF(AE335="Beginning",1,0)))</f>
        <v>0</v>
      </c>
      <c r="AP335" s="69"/>
      <c r="AQ335" s="76">
        <f t="shared" si="34"/>
        <v>0</v>
      </c>
      <c r="AR335" s="72"/>
    </row>
    <row r="336" spans="1:44">
      <c r="A336" s="69"/>
      <c r="B336" s="70"/>
      <c r="C336" s="69"/>
      <c r="D336" s="69"/>
      <c r="E336" s="69"/>
      <c r="F336" s="69"/>
      <c r="G336" s="69"/>
      <c r="H336" s="69"/>
      <c r="I336" s="69"/>
      <c r="J336" s="69"/>
      <c r="K336" t="str">
        <f t="shared" si="35"/>
        <v>Not a Lease</v>
      </c>
      <c r="L336" s="69"/>
      <c r="M336" s="69"/>
      <c r="N336" s="69"/>
      <c r="O336" s="69"/>
      <c r="P336" s="69"/>
      <c r="Q336" s="69"/>
      <c r="R336" s="69"/>
      <c r="S336" s="69"/>
      <c r="T336" s="69"/>
      <c r="U336" s="69"/>
      <c r="V336" s="69"/>
      <c r="W336" s="69"/>
      <c r="X336" s="69"/>
      <c r="Y336" s="69"/>
      <c r="Z336">
        <f t="shared" si="33"/>
        <v>0</v>
      </c>
      <c r="AA336">
        <f t="shared" si="36"/>
        <v>0</v>
      </c>
      <c r="AB336">
        <f t="shared" si="37"/>
        <v>0</v>
      </c>
      <c r="AC336">
        <f>+IF(Table3[[#This Row],[Do Both Parties have to agree for extension to occur?]]="Yes",0,IF(AND(W336="Yes",Q336="Yes"),IF(R336=X336,R336,MAX(R336,X336)),IF(AND(W336="Yes",OR(Q336="No",Q336="")),X336,IF(AND(OR(W336="No",W336=""),Q336="Yes"),R336,0))))</f>
        <v>0</v>
      </c>
      <c r="AD336" s="69"/>
      <c r="AE336" s="69"/>
      <c r="AF336" t="str">
        <f>IF(AD336="Monthly",Table3[[#This Row],[Assessed Term]]*12,IF(AD336="quarterly",Table3[[#This Row],[Assessed Term]]*4,IF(AD336="annually",Table3[[#This Row],[Assessed Term]]*1,IF(AD336="weekly",Table3[[#This Row],[Assessed Term]]*52,IF(AD336="semiannually",Table3[[#This Row],[Assessed Term]]*2," ")))))</f>
        <v xml:space="preserve"> </v>
      </c>
      <c r="AG336" s="69"/>
      <c r="AH336" s="69"/>
      <c r="AI336" s="73"/>
      <c r="AJ336" s="73"/>
      <c r="AK336" s="73"/>
      <c r="AL336" s="69"/>
      <c r="AM336" s="69"/>
      <c r="AN336" s="120"/>
      <c r="AO336" s="76" t="b">
        <f>IF(K336 = "Lease",+PV(AN336/(AF336/Table3[[#This Row],[Assessed Term]]),AF336,-AI336,0,IF(AE336="Beginning",1,0)))</f>
        <v>0</v>
      </c>
      <c r="AP336" s="69"/>
      <c r="AQ336" s="76">
        <f t="shared" si="34"/>
        <v>0</v>
      </c>
      <c r="AR336" s="72"/>
    </row>
    <row r="337" spans="1:44">
      <c r="A337" s="69"/>
      <c r="B337" s="70"/>
      <c r="C337" s="69"/>
      <c r="D337" s="69"/>
      <c r="E337" s="69"/>
      <c r="F337" s="69"/>
      <c r="G337" s="69"/>
      <c r="H337" s="69"/>
      <c r="I337" s="69"/>
      <c r="J337" s="69"/>
      <c r="K337" t="str">
        <f t="shared" si="35"/>
        <v>Not a Lease</v>
      </c>
      <c r="L337" s="69"/>
      <c r="M337" s="69"/>
      <c r="N337" s="69"/>
      <c r="O337" s="69"/>
      <c r="P337" s="69"/>
      <c r="Q337" s="69"/>
      <c r="R337" s="69"/>
      <c r="S337" s="69"/>
      <c r="T337" s="69"/>
      <c r="U337" s="69"/>
      <c r="V337" s="69"/>
      <c r="W337" s="69"/>
      <c r="X337" s="69"/>
      <c r="Y337" s="69"/>
      <c r="Z337">
        <f t="shared" si="33"/>
        <v>0</v>
      </c>
      <c r="AA337">
        <f t="shared" si="36"/>
        <v>0</v>
      </c>
      <c r="AB337">
        <f t="shared" si="37"/>
        <v>0</v>
      </c>
      <c r="AC337">
        <f>+IF(Table3[[#This Row],[Do Both Parties have to agree for extension to occur?]]="Yes",0,IF(AND(W337="Yes",Q337="Yes"),IF(R337=X337,R337,MAX(R337,X337)),IF(AND(W337="Yes",OR(Q337="No",Q337="")),X337,IF(AND(OR(W337="No",W337=""),Q337="Yes"),R337,0))))</f>
        <v>0</v>
      </c>
      <c r="AD337" s="69"/>
      <c r="AE337" s="69"/>
      <c r="AF337" t="str">
        <f>IF(AD337="Monthly",Table3[[#This Row],[Assessed Term]]*12,IF(AD337="quarterly",Table3[[#This Row],[Assessed Term]]*4,IF(AD337="annually",Table3[[#This Row],[Assessed Term]]*1,IF(AD337="weekly",Table3[[#This Row],[Assessed Term]]*52,IF(AD337="semiannually",Table3[[#This Row],[Assessed Term]]*2," ")))))</f>
        <v xml:space="preserve"> </v>
      </c>
      <c r="AG337" s="69"/>
      <c r="AH337" s="69"/>
      <c r="AI337" s="73"/>
      <c r="AJ337" s="73"/>
      <c r="AK337" s="73"/>
      <c r="AL337" s="69"/>
      <c r="AM337" s="69"/>
      <c r="AN337" s="120"/>
      <c r="AO337" s="76" t="b">
        <f>IF(K337 = "Lease",+PV(AN337/(AF337/Table3[[#This Row],[Assessed Term]]),AF337,-AI337,0,IF(AE337="Beginning",1,0)))</f>
        <v>0</v>
      </c>
      <c r="AP337" s="69"/>
      <c r="AQ337" s="76">
        <f t="shared" si="34"/>
        <v>0</v>
      </c>
      <c r="AR337" s="72"/>
    </row>
    <row r="338" spans="1:44">
      <c r="A338" s="69"/>
      <c r="B338" s="70"/>
      <c r="C338" s="69"/>
      <c r="D338" s="69"/>
      <c r="E338" s="69"/>
      <c r="F338" s="69"/>
      <c r="G338" s="69"/>
      <c r="H338" s="69"/>
      <c r="I338" s="69"/>
      <c r="J338" s="69"/>
      <c r="K338" t="str">
        <f t="shared" si="35"/>
        <v>Not a Lease</v>
      </c>
      <c r="L338" s="69"/>
      <c r="M338" s="69"/>
      <c r="N338" s="69"/>
      <c r="O338" s="69"/>
      <c r="P338" s="69"/>
      <c r="Q338" s="69"/>
      <c r="R338" s="69"/>
      <c r="S338" s="69"/>
      <c r="T338" s="69"/>
      <c r="U338" s="69"/>
      <c r="V338" s="69"/>
      <c r="W338" s="69"/>
      <c r="X338" s="69"/>
      <c r="Y338" s="69"/>
      <c r="Z338">
        <f t="shared" si="33"/>
        <v>0</v>
      </c>
      <c r="AA338">
        <f t="shared" si="36"/>
        <v>0</v>
      </c>
      <c r="AB338">
        <f t="shared" si="37"/>
        <v>0</v>
      </c>
      <c r="AC338">
        <f>+IF(Table3[[#This Row],[Do Both Parties have to agree for extension to occur?]]="Yes",0,IF(AND(W338="Yes",Q338="Yes"),IF(R338=X338,R338,MAX(R338,X338)),IF(AND(W338="Yes",OR(Q338="No",Q338="")),X338,IF(AND(OR(W338="No",W338=""),Q338="Yes"),R338,0))))</f>
        <v>0</v>
      </c>
      <c r="AD338" s="69"/>
      <c r="AE338" s="69"/>
      <c r="AF338" t="str">
        <f>IF(AD338="Monthly",Table3[[#This Row],[Assessed Term]]*12,IF(AD338="quarterly",Table3[[#This Row],[Assessed Term]]*4,IF(AD338="annually",Table3[[#This Row],[Assessed Term]]*1,IF(AD338="weekly",Table3[[#This Row],[Assessed Term]]*52,IF(AD338="semiannually",Table3[[#This Row],[Assessed Term]]*2," ")))))</f>
        <v xml:space="preserve"> </v>
      </c>
      <c r="AG338" s="69"/>
      <c r="AH338" s="69"/>
      <c r="AI338" s="73"/>
      <c r="AJ338" s="73"/>
      <c r="AK338" s="73"/>
      <c r="AL338" s="69"/>
      <c r="AM338" s="69"/>
      <c r="AN338" s="120"/>
      <c r="AO338" s="76" t="b">
        <f>IF(K338 = "Lease",+PV(AN338/(AF338/Table3[[#This Row],[Assessed Term]]),AF338,-AI338,0,IF(AE338="Beginning",1,0)))</f>
        <v>0</v>
      </c>
      <c r="AP338" s="69"/>
      <c r="AQ338" s="76">
        <f t="shared" si="34"/>
        <v>0</v>
      </c>
      <c r="AR338" s="72"/>
    </row>
    <row r="339" spans="1:44">
      <c r="A339" s="69"/>
      <c r="B339" s="70"/>
      <c r="C339" s="69"/>
      <c r="D339" s="69"/>
      <c r="E339" s="69"/>
      <c r="F339" s="69"/>
      <c r="G339" s="69"/>
      <c r="H339" s="69"/>
      <c r="I339" s="69"/>
      <c r="J339" s="69"/>
      <c r="K339" t="str">
        <f t="shared" si="35"/>
        <v>Not a Lease</v>
      </c>
      <c r="L339" s="69"/>
      <c r="M339" s="69"/>
      <c r="N339" s="69"/>
      <c r="O339" s="69"/>
      <c r="P339" s="69"/>
      <c r="Q339" s="69"/>
      <c r="R339" s="69"/>
      <c r="S339" s="69"/>
      <c r="T339" s="69"/>
      <c r="U339" s="69"/>
      <c r="V339" s="69"/>
      <c r="W339" s="69"/>
      <c r="X339" s="69"/>
      <c r="Y339" s="69"/>
      <c r="Z339">
        <f t="shared" si="33"/>
        <v>0</v>
      </c>
      <c r="AA339">
        <f t="shared" si="36"/>
        <v>0</v>
      </c>
      <c r="AB339">
        <f t="shared" si="37"/>
        <v>0</v>
      </c>
      <c r="AC339">
        <f>+IF(Table3[[#This Row],[Do Both Parties have to agree for extension to occur?]]="Yes",0,IF(AND(W339="Yes",Q339="Yes"),IF(R339=X339,R339,MAX(R339,X339)),IF(AND(W339="Yes",OR(Q339="No",Q339="")),X339,IF(AND(OR(W339="No",W339=""),Q339="Yes"),R339,0))))</f>
        <v>0</v>
      </c>
      <c r="AD339" s="69"/>
      <c r="AE339" s="69"/>
      <c r="AF339" t="str">
        <f>IF(AD339="Monthly",Table3[[#This Row],[Assessed Term]]*12,IF(AD339="quarterly",Table3[[#This Row],[Assessed Term]]*4,IF(AD339="annually",Table3[[#This Row],[Assessed Term]]*1,IF(AD339="weekly",Table3[[#This Row],[Assessed Term]]*52,IF(AD339="semiannually",Table3[[#This Row],[Assessed Term]]*2," ")))))</f>
        <v xml:space="preserve"> </v>
      </c>
      <c r="AG339" s="69"/>
      <c r="AH339" s="69"/>
      <c r="AI339" s="73"/>
      <c r="AJ339" s="73"/>
      <c r="AK339" s="73"/>
      <c r="AL339" s="69"/>
      <c r="AM339" s="69"/>
      <c r="AN339" s="120"/>
      <c r="AO339" s="76" t="b">
        <f>IF(K339 = "Lease",+PV(AN339/(AF339/Table3[[#This Row],[Assessed Term]]),AF339,-AI339,0,IF(AE339="Beginning",1,0)))</f>
        <v>0</v>
      </c>
      <c r="AP339" s="69"/>
      <c r="AQ339" s="76">
        <f t="shared" si="34"/>
        <v>0</v>
      </c>
      <c r="AR339" s="72"/>
    </row>
    <row r="340" spans="1:44">
      <c r="A340" s="69"/>
      <c r="B340" s="70"/>
      <c r="C340" s="69"/>
      <c r="D340" s="69"/>
      <c r="E340" s="69"/>
      <c r="F340" s="69"/>
      <c r="G340" s="69"/>
      <c r="H340" s="69"/>
      <c r="I340" s="69"/>
      <c r="J340" s="69"/>
      <c r="K340" t="str">
        <f t="shared" si="35"/>
        <v>Not a Lease</v>
      </c>
      <c r="L340" s="69"/>
      <c r="M340" s="69"/>
      <c r="N340" s="69"/>
      <c r="O340" s="69"/>
      <c r="P340" s="69"/>
      <c r="Q340" s="69"/>
      <c r="R340" s="69"/>
      <c r="S340" s="69"/>
      <c r="T340" s="69"/>
      <c r="U340" s="69"/>
      <c r="V340" s="69"/>
      <c r="W340" s="69"/>
      <c r="X340" s="69"/>
      <c r="Y340" s="69"/>
      <c r="Z340">
        <f t="shared" si="33"/>
        <v>0</v>
      </c>
      <c r="AA340">
        <f t="shared" si="36"/>
        <v>0</v>
      </c>
      <c r="AB340">
        <f t="shared" si="37"/>
        <v>0</v>
      </c>
      <c r="AC340">
        <f>+IF(Table3[[#This Row],[Do Both Parties have to agree for extension to occur?]]="Yes",0,IF(AND(W340="Yes",Q340="Yes"),IF(R340=X340,R340,MAX(R340,X340)),IF(AND(W340="Yes",OR(Q340="No",Q340="")),X340,IF(AND(OR(W340="No",W340=""),Q340="Yes"),R340,0))))</f>
        <v>0</v>
      </c>
      <c r="AD340" s="69"/>
      <c r="AE340" s="69"/>
      <c r="AF340" t="str">
        <f>IF(AD340="Monthly",Table3[[#This Row],[Assessed Term]]*12,IF(AD340="quarterly",Table3[[#This Row],[Assessed Term]]*4,IF(AD340="annually",Table3[[#This Row],[Assessed Term]]*1,IF(AD340="weekly",Table3[[#This Row],[Assessed Term]]*52,IF(AD340="semiannually",Table3[[#This Row],[Assessed Term]]*2," ")))))</f>
        <v xml:space="preserve"> </v>
      </c>
      <c r="AG340" s="69"/>
      <c r="AH340" s="69"/>
      <c r="AI340" s="73"/>
      <c r="AJ340" s="73"/>
      <c r="AK340" s="73"/>
      <c r="AL340" s="69"/>
      <c r="AM340" s="69"/>
      <c r="AN340" s="120"/>
      <c r="AO340" s="76" t="b">
        <f>IF(K340 = "Lease",+PV(AN340/(AF340/Table3[[#This Row],[Assessed Term]]),AF340,-AI340,0,IF(AE340="Beginning",1,0)))</f>
        <v>0</v>
      </c>
      <c r="AP340" s="69"/>
      <c r="AQ340" s="76">
        <f t="shared" si="34"/>
        <v>0</v>
      </c>
      <c r="AR340" s="72"/>
    </row>
    <row r="341" spans="1:44">
      <c r="A341" s="69"/>
      <c r="B341" s="70"/>
      <c r="C341" s="69"/>
      <c r="D341" s="69"/>
      <c r="E341" s="69"/>
      <c r="F341" s="69"/>
      <c r="G341" s="69"/>
      <c r="H341" s="69"/>
      <c r="I341" s="69"/>
      <c r="J341" s="69"/>
      <c r="K341" t="str">
        <f t="shared" si="35"/>
        <v>Not a Lease</v>
      </c>
      <c r="L341" s="69"/>
      <c r="M341" s="69"/>
      <c r="N341" s="69"/>
      <c r="O341" s="69"/>
      <c r="P341" s="69"/>
      <c r="Q341" s="69"/>
      <c r="R341" s="69"/>
      <c r="S341" s="69"/>
      <c r="T341" s="69"/>
      <c r="U341" s="69"/>
      <c r="V341" s="69"/>
      <c r="W341" s="69"/>
      <c r="X341" s="69"/>
      <c r="Y341" s="69"/>
      <c r="Z341">
        <f t="shared" si="33"/>
        <v>0</v>
      </c>
      <c r="AA341">
        <f t="shared" si="36"/>
        <v>0</v>
      </c>
      <c r="AB341">
        <f t="shared" si="37"/>
        <v>0</v>
      </c>
      <c r="AC341">
        <f>+IF(Table3[[#This Row],[Do Both Parties have to agree for extension to occur?]]="Yes",0,IF(AND(W341="Yes",Q341="Yes"),IF(R341=X341,R341,MAX(R341,X341)),IF(AND(W341="Yes",OR(Q341="No",Q341="")),X341,IF(AND(OR(W341="No",W341=""),Q341="Yes"),R341,0))))</f>
        <v>0</v>
      </c>
      <c r="AD341" s="69"/>
      <c r="AE341" s="69"/>
      <c r="AF341" t="str">
        <f>IF(AD341="Monthly",Table3[[#This Row],[Assessed Term]]*12,IF(AD341="quarterly",Table3[[#This Row],[Assessed Term]]*4,IF(AD341="annually",Table3[[#This Row],[Assessed Term]]*1,IF(AD341="weekly",Table3[[#This Row],[Assessed Term]]*52,IF(AD341="semiannually",Table3[[#This Row],[Assessed Term]]*2," ")))))</f>
        <v xml:space="preserve"> </v>
      </c>
      <c r="AG341" s="69"/>
      <c r="AH341" s="69"/>
      <c r="AI341" s="73"/>
      <c r="AJ341" s="73"/>
      <c r="AK341" s="73"/>
      <c r="AL341" s="69"/>
      <c r="AM341" s="69"/>
      <c r="AN341" s="120"/>
      <c r="AO341" s="76" t="b">
        <f>IF(K341 = "Lease",+PV(AN341/(AF341/Table3[[#This Row],[Assessed Term]]),AF341,-AI341,0,IF(AE341="Beginning",1,0)))</f>
        <v>0</v>
      </c>
      <c r="AP341" s="69"/>
      <c r="AQ341" s="76">
        <f t="shared" si="34"/>
        <v>0</v>
      </c>
      <c r="AR341" s="72"/>
    </row>
    <row r="342" spans="1:44">
      <c r="A342" s="69"/>
      <c r="B342" s="70"/>
      <c r="C342" s="69"/>
      <c r="D342" s="69"/>
      <c r="E342" s="69"/>
      <c r="F342" s="69"/>
      <c r="G342" s="69"/>
      <c r="H342" s="69"/>
      <c r="I342" s="69"/>
      <c r="J342" s="69"/>
      <c r="K342" t="str">
        <f t="shared" si="35"/>
        <v>Not a Lease</v>
      </c>
      <c r="L342" s="69"/>
      <c r="M342" s="69"/>
      <c r="N342" s="69"/>
      <c r="O342" s="69"/>
      <c r="P342" s="69"/>
      <c r="Q342" s="69"/>
      <c r="R342" s="69"/>
      <c r="S342" s="69"/>
      <c r="T342" s="69"/>
      <c r="U342" s="69"/>
      <c r="V342" s="69"/>
      <c r="W342" s="69"/>
      <c r="X342" s="69"/>
      <c r="Y342" s="69"/>
      <c r="Z342">
        <f t="shared" si="33"/>
        <v>0</v>
      </c>
      <c r="AA342">
        <f t="shared" si="36"/>
        <v>0</v>
      </c>
      <c r="AB342">
        <f t="shared" si="37"/>
        <v>0</v>
      </c>
      <c r="AC342">
        <f>+IF(Table3[[#This Row],[Do Both Parties have to agree for extension to occur?]]="Yes",0,IF(AND(W342="Yes",Q342="Yes"),IF(R342=X342,R342,MAX(R342,X342)),IF(AND(W342="Yes",OR(Q342="No",Q342="")),X342,IF(AND(OR(W342="No",W342=""),Q342="Yes"),R342,0))))</f>
        <v>0</v>
      </c>
      <c r="AD342" s="69"/>
      <c r="AE342" s="69"/>
      <c r="AF342" t="str">
        <f>IF(AD342="Monthly",Table3[[#This Row],[Assessed Term]]*12,IF(AD342="quarterly",Table3[[#This Row],[Assessed Term]]*4,IF(AD342="annually",Table3[[#This Row],[Assessed Term]]*1,IF(AD342="weekly",Table3[[#This Row],[Assessed Term]]*52,IF(AD342="semiannually",Table3[[#This Row],[Assessed Term]]*2," ")))))</f>
        <v xml:space="preserve"> </v>
      </c>
      <c r="AG342" s="69"/>
      <c r="AH342" s="69"/>
      <c r="AI342" s="73"/>
      <c r="AJ342" s="73"/>
      <c r="AK342" s="73"/>
      <c r="AL342" s="69"/>
      <c r="AM342" s="69"/>
      <c r="AN342" s="120"/>
      <c r="AO342" s="76" t="b">
        <f>IF(K342 = "Lease",+PV(AN342/(AF342/Table3[[#This Row],[Assessed Term]]),AF342,-AI342,0,IF(AE342="Beginning",1,0)))</f>
        <v>0</v>
      </c>
      <c r="AP342" s="69"/>
      <c r="AQ342" s="76">
        <f t="shared" si="34"/>
        <v>0</v>
      </c>
      <c r="AR342" s="72"/>
    </row>
    <row r="343" spans="1:44">
      <c r="A343" s="69"/>
      <c r="B343" s="70"/>
      <c r="C343" s="69"/>
      <c r="D343" s="69"/>
      <c r="E343" s="69"/>
      <c r="F343" s="69"/>
      <c r="G343" s="69"/>
      <c r="H343" s="69"/>
      <c r="I343" s="69"/>
      <c r="J343" s="69"/>
      <c r="K343" t="str">
        <f t="shared" si="35"/>
        <v>Not a Lease</v>
      </c>
      <c r="L343" s="69"/>
      <c r="M343" s="69"/>
      <c r="N343" s="69"/>
      <c r="O343" s="69"/>
      <c r="P343" s="69"/>
      <c r="Q343" s="69"/>
      <c r="R343" s="69"/>
      <c r="S343" s="69"/>
      <c r="T343" s="69"/>
      <c r="U343" s="69"/>
      <c r="V343" s="69"/>
      <c r="W343" s="69"/>
      <c r="X343" s="69"/>
      <c r="Y343" s="69"/>
      <c r="Z343">
        <f t="shared" si="33"/>
        <v>0</v>
      </c>
      <c r="AA343">
        <f t="shared" si="36"/>
        <v>0</v>
      </c>
      <c r="AB343">
        <f t="shared" si="37"/>
        <v>0</v>
      </c>
      <c r="AC343">
        <f>+IF(Table3[[#This Row],[Do Both Parties have to agree for extension to occur?]]="Yes",0,IF(AND(W343="Yes",Q343="Yes"),IF(R343=X343,R343,MAX(R343,X343)),IF(AND(W343="Yes",OR(Q343="No",Q343="")),X343,IF(AND(OR(W343="No",W343=""),Q343="Yes"),R343,0))))</f>
        <v>0</v>
      </c>
      <c r="AD343" s="69"/>
      <c r="AE343" s="69"/>
      <c r="AF343" t="str">
        <f>IF(AD343="Monthly",Table3[[#This Row],[Assessed Term]]*12,IF(AD343="quarterly",Table3[[#This Row],[Assessed Term]]*4,IF(AD343="annually",Table3[[#This Row],[Assessed Term]]*1,IF(AD343="weekly",Table3[[#This Row],[Assessed Term]]*52,IF(AD343="semiannually",Table3[[#This Row],[Assessed Term]]*2," ")))))</f>
        <v xml:space="preserve"> </v>
      </c>
      <c r="AG343" s="69"/>
      <c r="AH343" s="69"/>
      <c r="AI343" s="73"/>
      <c r="AJ343" s="73"/>
      <c r="AK343" s="73"/>
      <c r="AL343" s="69"/>
      <c r="AM343" s="69"/>
      <c r="AN343" s="120"/>
      <c r="AO343" s="76" t="b">
        <f>IF(K343 = "Lease",+PV(AN343/(AF343/Table3[[#This Row],[Assessed Term]]),AF343,-AI343,0,IF(AE343="Beginning",1,0)))</f>
        <v>0</v>
      </c>
      <c r="AP343" s="69"/>
      <c r="AQ343" s="76">
        <f t="shared" si="34"/>
        <v>0</v>
      </c>
      <c r="AR343" s="72"/>
    </row>
    <row r="344" spans="1:44">
      <c r="A344" s="69"/>
      <c r="B344" s="70"/>
      <c r="C344" s="69"/>
      <c r="D344" s="69"/>
      <c r="E344" s="69"/>
      <c r="F344" s="69"/>
      <c r="G344" s="69"/>
      <c r="H344" s="69"/>
      <c r="I344" s="69"/>
      <c r="J344" s="69"/>
      <c r="K344" t="str">
        <f t="shared" si="35"/>
        <v>Not a Lease</v>
      </c>
      <c r="L344" s="69"/>
      <c r="M344" s="69"/>
      <c r="N344" s="69"/>
      <c r="O344" s="69"/>
      <c r="P344" s="69"/>
      <c r="Q344" s="69"/>
      <c r="R344" s="69"/>
      <c r="S344" s="69"/>
      <c r="T344" s="69"/>
      <c r="U344" s="69"/>
      <c r="V344" s="69"/>
      <c r="W344" s="69"/>
      <c r="X344" s="69"/>
      <c r="Y344" s="69"/>
      <c r="Z344">
        <f t="shared" si="33"/>
        <v>0</v>
      </c>
      <c r="AA344">
        <f t="shared" si="36"/>
        <v>0</v>
      </c>
      <c r="AB344">
        <f t="shared" si="37"/>
        <v>0</v>
      </c>
      <c r="AC344">
        <f>+IF(Table3[[#This Row],[Do Both Parties have to agree for extension to occur?]]="Yes",0,IF(AND(W344="Yes",Q344="Yes"),IF(R344=X344,R344,MAX(R344,X344)),IF(AND(W344="Yes",OR(Q344="No",Q344="")),X344,IF(AND(OR(W344="No",W344=""),Q344="Yes"),R344,0))))</f>
        <v>0</v>
      </c>
      <c r="AD344" s="69"/>
      <c r="AE344" s="69"/>
      <c r="AF344" t="str">
        <f>IF(AD344="Monthly",Table3[[#This Row],[Assessed Term]]*12,IF(AD344="quarterly",Table3[[#This Row],[Assessed Term]]*4,IF(AD344="annually",Table3[[#This Row],[Assessed Term]]*1,IF(AD344="weekly",Table3[[#This Row],[Assessed Term]]*52,IF(AD344="semiannually",Table3[[#This Row],[Assessed Term]]*2," ")))))</f>
        <v xml:space="preserve"> </v>
      </c>
      <c r="AG344" s="69"/>
      <c r="AH344" s="69"/>
      <c r="AI344" s="73"/>
      <c r="AJ344" s="73"/>
      <c r="AK344" s="73"/>
      <c r="AL344" s="69"/>
      <c r="AM344" s="69"/>
      <c r="AN344" s="120"/>
      <c r="AO344" s="76" t="b">
        <f>IF(K344 = "Lease",+PV(AN344/(AF344/Table3[[#This Row],[Assessed Term]]),AF344,-AI344,0,IF(AE344="Beginning",1,0)))</f>
        <v>0</v>
      </c>
      <c r="AP344" s="69"/>
      <c r="AQ344" s="76">
        <f t="shared" si="34"/>
        <v>0</v>
      </c>
      <c r="AR344" s="72"/>
    </row>
    <row r="345" spans="1:44">
      <c r="A345" s="69"/>
      <c r="B345" s="70"/>
      <c r="C345" s="69"/>
      <c r="D345" s="69"/>
      <c r="E345" s="69"/>
      <c r="F345" s="69"/>
      <c r="G345" s="69"/>
      <c r="H345" s="69"/>
      <c r="I345" s="69"/>
      <c r="J345" s="69"/>
      <c r="K345" t="str">
        <f t="shared" si="35"/>
        <v>Not a Lease</v>
      </c>
      <c r="L345" s="69"/>
      <c r="M345" s="69"/>
      <c r="N345" s="69"/>
      <c r="O345" s="69"/>
      <c r="P345" s="69"/>
      <c r="Q345" s="69"/>
      <c r="R345" s="69"/>
      <c r="S345" s="69"/>
      <c r="T345" s="69"/>
      <c r="U345" s="69"/>
      <c r="V345" s="69"/>
      <c r="W345" s="69"/>
      <c r="X345" s="69"/>
      <c r="Y345" s="69"/>
      <c r="Z345">
        <f t="shared" si="33"/>
        <v>0</v>
      </c>
      <c r="AA345">
        <f t="shared" si="36"/>
        <v>0</v>
      </c>
      <c r="AB345">
        <f t="shared" si="37"/>
        <v>0</v>
      </c>
      <c r="AC345">
        <f>+IF(Table3[[#This Row],[Do Both Parties have to agree for extension to occur?]]="Yes",0,IF(AND(W345="Yes",Q345="Yes"),IF(R345=X345,R345,MAX(R345,X345)),IF(AND(W345="Yes",OR(Q345="No",Q345="")),X345,IF(AND(OR(W345="No",W345=""),Q345="Yes"),R345,0))))</f>
        <v>0</v>
      </c>
      <c r="AD345" s="69"/>
      <c r="AE345" s="69"/>
      <c r="AF345" t="str">
        <f>IF(AD345="Monthly",Table3[[#This Row],[Assessed Term]]*12,IF(AD345="quarterly",Table3[[#This Row],[Assessed Term]]*4,IF(AD345="annually",Table3[[#This Row],[Assessed Term]]*1,IF(AD345="weekly",Table3[[#This Row],[Assessed Term]]*52,IF(AD345="semiannually",Table3[[#This Row],[Assessed Term]]*2," ")))))</f>
        <v xml:space="preserve"> </v>
      </c>
      <c r="AG345" s="69"/>
      <c r="AH345" s="69"/>
      <c r="AI345" s="73"/>
      <c r="AJ345" s="73"/>
      <c r="AK345" s="73"/>
      <c r="AL345" s="69"/>
      <c r="AM345" s="69"/>
      <c r="AN345" s="120"/>
      <c r="AO345" s="76" t="b">
        <f>IF(K345 = "Lease",+PV(AN345/(AF345/Table3[[#This Row],[Assessed Term]]),AF345,-AI345,0,IF(AE345="Beginning",1,0)))</f>
        <v>0</v>
      </c>
      <c r="AP345" s="69"/>
      <c r="AQ345" s="76">
        <f t="shared" si="34"/>
        <v>0</v>
      </c>
      <c r="AR345" s="72"/>
    </row>
    <row r="346" spans="1:44">
      <c r="A346" s="69"/>
      <c r="B346" s="70"/>
      <c r="C346" s="69"/>
      <c r="D346" s="69"/>
      <c r="E346" s="69"/>
      <c r="F346" s="69"/>
      <c r="G346" s="69"/>
      <c r="H346" s="69"/>
      <c r="I346" s="69"/>
      <c r="J346" s="69"/>
      <c r="K346" t="str">
        <f t="shared" si="35"/>
        <v>Not a Lease</v>
      </c>
      <c r="L346" s="69"/>
      <c r="M346" s="69"/>
      <c r="N346" s="69"/>
      <c r="O346" s="69"/>
      <c r="P346" s="69"/>
      <c r="Q346" s="69"/>
      <c r="R346" s="69"/>
      <c r="S346" s="69"/>
      <c r="T346" s="69"/>
      <c r="U346" s="69"/>
      <c r="V346" s="69"/>
      <c r="W346" s="69"/>
      <c r="X346" s="69"/>
      <c r="Y346" s="69"/>
      <c r="Z346">
        <f t="shared" si="33"/>
        <v>0</v>
      </c>
      <c r="AA346">
        <f t="shared" si="36"/>
        <v>0</v>
      </c>
      <c r="AB346">
        <f t="shared" si="37"/>
        <v>0</v>
      </c>
      <c r="AC346">
        <f>+IF(Table3[[#This Row],[Do Both Parties have to agree for extension to occur?]]="Yes",0,IF(AND(W346="Yes",Q346="Yes"),IF(R346=X346,R346,MAX(R346,X346)),IF(AND(W346="Yes",OR(Q346="No",Q346="")),X346,IF(AND(OR(W346="No",W346=""),Q346="Yes"),R346,0))))</f>
        <v>0</v>
      </c>
      <c r="AD346" s="69"/>
      <c r="AE346" s="69"/>
      <c r="AF346" t="str">
        <f>IF(AD346="Monthly",Table3[[#This Row],[Assessed Term]]*12,IF(AD346="quarterly",Table3[[#This Row],[Assessed Term]]*4,IF(AD346="annually",Table3[[#This Row],[Assessed Term]]*1,IF(AD346="weekly",Table3[[#This Row],[Assessed Term]]*52,IF(AD346="semiannually",Table3[[#This Row],[Assessed Term]]*2," ")))))</f>
        <v xml:space="preserve"> </v>
      </c>
      <c r="AG346" s="69"/>
      <c r="AH346" s="69"/>
      <c r="AI346" s="73"/>
      <c r="AJ346" s="73"/>
      <c r="AK346" s="73"/>
      <c r="AL346" s="69"/>
      <c r="AM346" s="69"/>
      <c r="AN346" s="120"/>
      <c r="AO346" s="76" t="b">
        <f>IF(K346 = "Lease",+PV(AN346/(AF346/Table3[[#This Row],[Assessed Term]]),AF346,-AI346,0,IF(AE346="Beginning",1,0)))</f>
        <v>0</v>
      </c>
      <c r="AP346" s="69"/>
      <c r="AQ346" s="76">
        <f t="shared" si="34"/>
        <v>0</v>
      </c>
      <c r="AR346" s="72"/>
    </row>
    <row r="347" spans="1:44">
      <c r="A347" s="69"/>
      <c r="B347" s="70"/>
      <c r="C347" s="69"/>
      <c r="D347" s="69"/>
      <c r="E347" s="69"/>
      <c r="F347" s="69"/>
      <c r="G347" s="69"/>
      <c r="H347" s="69"/>
      <c r="I347" s="69"/>
      <c r="J347" s="69"/>
      <c r="K347" t="str">
        <f t="shared" si="35"/>
        <v>Not a Lease</v>
      </c>
      <c r="L347" s="69"/>
      <c r="M347" s="69"/>
      <c r="N347" s="69"/>
      <c r="O347" s="69"/>
      <c r="P347" s="69"/>
      <c r="Q347" s="69"/>
      <c r="R347" s="69"/>
      <c r="S347" s="69"/>
      <c r="T347" s="69"/>
      <c r="U347" s="69"/>
      <c r="V347" s="69"/>
      <c r="W347" s="69"/>
      <c r="X347" s="69"/>
      <c r="Y347" s="69"/>
      <c r="Z347">
        <f t="shared" si="33"/>
        <v>0</v>
      </c>
      <c r="AA347">
        <f t="shared" si="36"/>
        <v>0</v>
      </c>
      <c r="AB347">
        <f t="shared" si="37"/>
        <v>0</v>
      </c>
      <c r="AC347">
        <f>+IF(Table3[[#This Row],[Do Both Parties have to agree for extension to occur?]]="Yes",0,IF(AND(W347="Yes",Q347="Yes"),IF(R347=X347,R347,MAX(R347,X347)),IF(AND(W347="Yes",OR(Q347="No",Q347="")),X347,IF(AND(OR(W347="No",W347=""),Q347="Yes"),R347,0))))</f>
        <v>0</v>
      </c>
      <c r="AD347" s="69"/>
      <c r="AE347" s="69"/>
      <c r="AF347" t="str">
        <f>IF(AD347="Monthly",Table3[[#This Row],[Assessed Term]]*12,IF(AD347="quarterly",Table3[[#This Row],[Assessed Term]]*4,IF(AD347="annually",Table3[[#This Row],[Assessed Term]]*1,IF(AD347="weekly",Table3[[#This Row],[Assessed Term]]*52,IF(AD347="semiannually",Table3[[#This Row],[Assessed Term]]*2," ")))))</f>
        <v xml:space="preserve"> </v>
      </c>
      <c r="AG347" s="69"/>
      <c r="AH347" s="69"/>
      <c r="AI347" s="73"/>
      <c r="AJ347" s="73"/>
      <c r="AK347" s="73"/>
      <c r="AL347" s="69"/>
      <c r="AM347" s="69"/>
      <c r="AN347" s="120"/>
      <c r="AO347" s="76" t="b">
        <f>IF(K347 = "Lease",+PV(AN347/(AF347/Table3[[#This Row],[Assessed Term]]),AF347,-AI347,0,IF(AE347="Beginning",1,0)))</f>
        <v>0</v>
      </c>
      <c r="AP347" s="69"/>
      <c r="AQ347" s="76">
        <f t="shared" si="34"/>
        <v>0</v>
      </c>
      <c r="AR347" s="72"/>
    </row>
    <row r="348" spans="1:44">
      <c r="A348" s="69"/>
      <c r="B348" s="70"/>
      <c r="C348" s="69"/>
      <c r="D348" s="69"/>
      <c r="E348" s="69"/>
      <c r="F348" s="69"/>
      <c r="G348" s="69"/>
      <c r="H348" s="69"/>
      <c r="I348" s="69"/>
      <c r="J348" s="69"/>
      <c r="K348" t="str">
        <f t="shared" si="35"/>
        <v>Not a Lease</v>
      </c>
      <c r="L348" s="69"/>
      <c r="M348" s="69"/>
      <c r="N348" s="69"/>
      <c r="O348" s="69"/>
      <c r="P348" s="69"/>
      <c r="Q348" s="69"/>
      <c r="R348" s="69"/>
      <c r="S348" s="69"/>
      <c r="T348" s="69"/>
      <c r="U348" s="69"/>
      <c r="V348" s="69"/>
      <c r="W348" s="69"/>
      <c r="X348" s="69"/>
      <c r="Y348" s="69"/>
      <c r="Z348">
        <f t="shared" si="33"/>
        <v>0</v>
      </c>
      <c r="AA348">
        <f t="shared" si="36"/>
        <v>0</v>
      </c>
      <c r="AB348">
        <f t="shared" si="37"/>
        <v>0</v>
      </c>
      <c r="AC348">
        <f>+IF(Table3[[#This Row],[Do Both Parties have to agree for extension to occur?]]="Yes",0,IF(AND(W348="Yes",Q348="Yes"),IF(R348=X348,R348,MAX(R348,X348)),IF(AND(W348="Yes",OR(Q348="No",Q348="")),X348,IF(AND(OR(W348="No",W348=""),Q348="Yes"),R348,0))))</f>
        <v>0</v>
      </c>
      <c r="AD348" s="69"/>
      <c r="AE348" s="69"/>
      <c r="AF348" t="str">
        <f>IF(AD348="Monthly",Table3[[#This Row],[Assessed Term]]*12,IF(AD348="quarterly",Table3[[#This Row],[Assessed Term]]*4,IF(AD348="annually",Table3[[#This Row],[Assessed Term]]*1,IF(AD348="weekly",Table3[[#This Row],[Assessed Term]]*52,IF(AD348="semiannually",Table3[[#This Row],[Assessed Term]]*2," ")))))</f>
        <v xml:space="preserve"> </v>
      </c>
      <c r="AG348" s="69"/>
      <c r="AH348" s="69"/>
      <c r="AI348" s="73"/>
      <c r="AJ348" s="73"/>
      <c r="AK348" s="73"/>
      <c r="AL348" s="69"/>
      <c r="AM348" s="69"/>
      <c r="AN348" s="120"/>
      <c r="AO348" s="76" t="b">
        <f>IF(K348 = "Lease",+PV(AN348/(AF348/Table3[[#This Row],[Assessed Term]]),AF348,-AI348,0,IF(AE348="Beginning",1,0)))</f>
        <v>0</v>
      </c>
      <c r="AP348" s="69"/>
      <c r="AQ348" s="76">
        <f t="shared" si="34"/>
        <v>0</v>
      </c>
      <c r="AR348" s="72"/>
    </row>
    <row r="349" spans="1:44">
      <c r="A349" s="69"/>
      <c r="B349" s="70"/>
      <c r="C349" s="69"/>
      <c r="D349" s="69"/>
      <c r="E349" s="69"/>
      <c r="F349" s="69"/>
      <c r="G349" s="69"/>
      <c r="H349" s="69"/>
      <c r="I349" s="69"/>
      <c r="J349" s="69"/>
      <c r="K349" t="str">
        <f t="shared" si="35"/>
        <v>Not a Lease</v>
      </c>
      <c r="L349" s="69"/>
      <c r="M349" s="69"/>
      <c r="N349" s="69"/>
      <c r="O349" s="69"/>
      <c r="P349" s="69"/>
      <c r="Q349" s="69"/>
      <c r="R349" s="69"/>
      <c r="S349" s="69"/>
      <c r="T349" s="69"/>
      <c r="U349" s="69"/>
      <c r="V349" s="69"/>
      <c r="W349" s="69"/>
      <c r="X349" s="69"/>
      <c r="Y349" s="69"/>
      <c r="Z349">
        <f t="shared" si="33"/>
        <v>0</v>
      </c>
      <c r="AA349">
        <f t="shared" si="36"/>
        <v>0</v>
      </c>
      <c r="AB349">
        <f t="shared" si="37"/>
        <v>0</v>
      </c>
      <c r="AC349">
        <f>+IF(Table3[[#This Row],[Do Both Parties have to agree for extension to occur?]]="Yes",0,IF(AND(W349="Yes",Q349="Yes"),IF(R349=X349,R349,MAX(R349,X349)),IF(AND(W349="Yes",OR(Q349="No",Q349="")),X349,IF(AND(OR(W349="No",W349=""),Q349="Yes"),R349,0))))</f>
        <v>0</v>
      </c>
      <c r="AD349" s="69"/>
      <c r="AE349" s="69"/>
      <c r="AF349" t="str">
        <f>IF(AD349="Monthly",Table3[[#This Row],[Assessed Term]]*12,IF(AD349="quarterly",Table3[[#This Row],[Assessed Term]]*4,IF(AD349="annually",Table3[[#This Row],[Assessed Term]]*1,IF(AD349="weekly",Table3[[#This Row],[Assessed Term]]*52,IF(AD349="semiannually",Table3[[#This Row],[Assessed Term]]*2," ")))))</f>
        <v xml:space="preserve"> </v>
      </c>
      <c r="AG349" s="69"/>
      <c r="AH349" s="69"/>
      <c r="AI349" s="73"/>
      <c r="AJ349" s="73"/>
      <c r="AK349" s="73"/>
      <c r="AL349" s="69"/>
      <c r="AM349" s="69"/>
      <c r="AN349" s="120"/>
      <c r="AO349" s="76" t="b">
        <f>IF(K349 = "Lease",+PV(AN349/(AF349/Table3[[#This Row],[Assessed Term]]),AF349,-AI349,0,IF(AE349="Beginning",1,0)))</f>
        <v>0</v>
      </c>
      <c r="AP349" s="69"/>
      <c r="AQ349" s="76">
        <f t="shared" si="34"/>
        <v>0</v>
      </c>
      <c r="AR349" s="72"/>
    </row>
    <row r="350" spans="1:44">
      <c r="A350" s="69"/>
      <c r="B350" s="70"/>
      <c r="C350" s="69"/>
      <c r="D350" s="69"/>
      <c r="E350" s="69"/>
      <c r="F350" s="69"/>
      <c r="G350" s="69"/>
      <c r="H350" s="69"/>
      <c r="I350" s="69"/>
      <c r="J350" s="69"/>
      <c r="K350" t="str">
        <f t="shared" si="35"/>
        <v>Not a Lease</v>
      </c>
      <c r="L350" s="69"/>
      <c r="M350" s="69"/>
      <c r="N350" s="69"/>
      <c r="O350" s="69"/>
      <c r="P350" s="69"/>
      <c r="Q350" s="69"/>
      <c r="R350" s="69"/>
      <c r="S350" s="69"/>
      <c r="T350" s="69"/>
      <c r="U350" s="69"/>
      <c r="V350" s="69"/>
      <c r="W350" s="69"/>
      <c r="X350" s="69"/>
      <c r="Y350" s="69"/>
      <c r="Z350">
        <f t="shared" si="33"/>
        <v>0</v>
      </c>
      <c r="AA350">
        <f t="shared" si="36"/>
        <v>0</v>
      </c>
      <c r="AB350">
        <f t="shared" si="37"/>
        <v>0</v>
      </c>
      <c r="AC350">
        <f>+IF(Table3[[#This Row],[Do Both Parties have to agree for extension to occur?]]="Yes",0,IF(AND(W350="Yes",Q350="Yes"),IF(R350=X350,R350,MAX(R350,X350)),IF(AND(W350="Yes",OR(Q350="No",Q350="")),X350,IF(AND(OR(W350="No",W350=""),Q350="Yes"),R350,0))))</f>
        <v>0</v>
      </c>
      <c r="AD350" s="69"/>
      <c r="AE350" s="69"/>
      <c r="AF350" t="str">
        <f>IF(AD350="Monthly",Table3[[#This Row],[Assessed Term]]*12,IF(AD350="quarterly",Table3[[#This Row],[Assessed Term]]*4,IF(AD350="annually",Table3[[#This Row],[Assessed Term]]*1,IF(AD350="weekly",Table3[[#This Row],[Assessed Term]]*52,IF(AD350="semiannually",Table3[[#This Row],[Assessed Term]]*2," ")))))</f>
        <v xml:space="preserve"> </v>
      </c>
      <c r="AG350" s="69"/>
      <c r="AH350" s="69"/>
      <c r="AI350" s="73"/>
      <c r="AJ350" s="73"/>
      <c r="AK350" s="73"/>
      <c r="AL350" s="69"/>
      <c r="AM350" s="69"/>
      <c r="AN350" s="120"/>
      <c r="AO350" s="76" t="b">
        <f>IF(K350 = "Lease",+PV(AN350/(AF350/Table3[[#This Row],[Assessed Term]]),AF350,-AI350,0,IF(AE350="Beginning",1,0)))</f>
        <v>0</v>
      </c>
      <c r="AP350" s="69"/>
      <c r="AQ350" s="76">
        <f t="shared" si="34"/>
        <v>0</v>
      </c>
      <c r="AR350" s="72"/>
    </row>
    <row r="351" spans="1:44">
      <c r="A351" s="69"/>
      <c r="B351" s="70"/>
      <c r="C351" s="69"/>
      <c r="D351" s="69"/>
      <c r="E351" s="69"/>
      <c r="F351" s="69"/>
      <c r="G351" s="69"/>
      <c r="H351" s="69"/>
      <c r="I351" s="69"/>
      <c r="J351" s="69"/>
      <c r="K351" t="str">
        <f t="shared" si="35"/>
        <v>Not a Lease</v>
      </c>
      <c r="L351" s="69"/>
      <c r="M351" s="69"/>
      <c r="N351" s="69"/>
      <c r="O351" s="69"/>
      <c r="P351" s="69"/>
      <c r="Q351" s="69"/>
      <c r="R351" s="69"/>
      <c r="S351" s="69"/>
      <c r="T351" s="69"/>
      <c r="U351" s="69"/>
      <c r="V351" s="69"/>
      <c r="W351" s="69"/>
      <c r="X351" s="69"/>
      <c r="Y351" s="69"/>
      <c r="Z351">
        <f t="shared" si="33"/>
        <v>0</v>
      </c>
      <c r="AA351">
        <f t="shared" si="36"/>
        <v>0</v>
      </c>
      <c r="AB351">
        <f t="shared" si="37"/>
        <v>0</v>
      </c>
      <c r="AC351">
        <f>+IF(Table3[[#This Row],[Do Both Parties have to agree for extension to occur?]]="Yes",0,IF(AND(W351="Yes",Q351="Yes"),IF(R351=X351,R351,MAX(R351,X351)),IF(AND(W351="Yes",OR(Q351="No",Q351="")),X351,IF(AND(OR(W351="No",W351=""),Q351="Yes"),R351,0))))</f>
        <v>0</v>
      </c>
      <c r="AD351" s="69"/>
      <c r="AE351" s="69"/>
      <c r="AF351" t="str">
        <f>IF(AD351="Monthly",Table3[[#This Row],[Assessed Term]]*12,IF(AD351="quarterly",Table3[[#This Row],[Assessed Term]]*4,IF(AD351="annually",Table3[[#This Row],[Assessed Term]]*1,IF(AD351="weekly",Table3[[#This Row],[Assessed Term]]*52,IF(AD351="semiannually",Table3[[#This Row],[Assessed Term]]*2," ")))))</f>
        <v xml:space="preserve"> </v>
      </c>
      <c r="AG351" s="69"/>
      <c r="AH351" s="69"/>
      <c r="AI351" s="73"/>
      <c r="AJ351" s="73"/>
      <c r="AK351" s="73"/>
      <c r="AL351" s="69"/>
      <c r="AM351" s="69"/>
      <c r="AN351" s="120"/>
      <c r="AO351" s="76" t="b">
        <f>IF(K351 = "Lease",+PV(AN351/(AF351/Table3[[#This Row],[Assessed Term]]),AF351,-AI351,0,IF(AE351="Beginning",1,0)))</f>
        <v>0</v>
      </c>
      <c r="AP351" s="69"/>
      <c r="AQ351" s="76">
        <f t="shared" si="34"/>
        <v>0</v>
      </c>
      <c r="AR351" s="72"/>
    </row>
    <row r="352" spans="1:44">
      <c r="A352" s="69"/>
      <c r="B352" s="70"/>
      <c r="C352" s="69"/>
      <c r="D352" s="69"/>
      <c r="E352" s="69"/>
      <c r="F352" s="69"/>
      <c r="G352" s="69"/>
      <c r="H352" s="69"/>
      <c r="I352" s="69"/>
      <c r="J352" s="69"/>
      <c r="K352" t="str">
        <f t="shared" si="35"/>
        <v>Not a Lease</v>
      </c>
      <c r="L352" s="69"/>
      <c r="M352" s="69"/>
      <c r="N352" s="69"/>
      <c r="O352" s="69"/>
      <c r="P352" s="69"/>
      <c r="Q352" s="69"/>
      <c r="R352" s="69"/>
      <c r="S352" s="69"/>
      <c r="T352" s="69"/>
      <c r="U352" s="69"/>
      <c r="V352" s="69"/>
      <c r="W352" s="69"/>
      <c r="X352" s="69"/>
      <c r="Y352" s="69"/>
      <c r="Z352">
        <f t="shared" si="33"/>
        <v>0</v>
      </c>
      <c r="AA352">
        <f t="shared" si="36"/>
        <v>0</v>
      </c>
      <c r="AB352">
        <f t="shared" si="37"/>
        <v>0</v>
      </c>
      <c r="AC352">
        <f>+IF(Table3[[#This Row],[Do Both Parties have to agree for extension to occur?]]="Yes",0,IF(AND(W352="Yes",Q352="Yes"),IF(R352=X352,R352,MAX(R352,X352)),IF(AND(W352="Yes",OR(Q352="No",Q352="")),X352,IF(AND(OR(W352="No",W352=""),Q352="Yes"),R352,0))))</f>
        <v>0</v>
      </c>
      <c r="AD352" s="69"/>
      <c r="AE352" s="69"/>
      <c r="AF352" t="str">
        <f>IF(AD352="Monthly",Table3[[#This Row],[Assessed Term]]*12,IF(AD352="quarterly",Table3[[#This Row],[Assessed Term]]*4,IF(AD352="annually",Table3[[#This Row],[Assessed Term]]*1,IF(AD352="weekly",Table3[[#This Row],[Assessed Term]]*52,IF(AD352="semiannually",Table3[[#This Row],[Assessed Term]]*2," ")))))</f>
        <v xml:space="preserve"> </v>
      </c>
      <c r="AG352" s="69"/>
      <c r="AH352" s="69"/>
      <c r="AI352" s="73"/>
      <c r="AJ352" s="73"/>
      <c r="AK352" s="73"/>
      <c r="AL352" s="69"/>
      <c r="AM352" s="69"/>
      <c r="AN352" s="120"/>
      <c r="AO352" s="76" t="b">
        <f>IF(K352 = "Lease",+PV(AN352/(AF352/Table3[[#This Row],[Assessed Term]]),AF352,-AI352,0,IF(AE352="Beginning",1,0)))</f>
        <v>0</v>
      </c>
      <c r="AP352" s="69"/>
      <c r="AQ352" s="76">
        <f t="shared" si="34"/>
        <v>0</v>
      </c>
      <c r="AR352" s="72"/>
    </row>
    <row r="353" spans="1:44">
      <c r="A353" s="69"/>
      <c r="B353" s="70"/>
      <c r="C353" s="69"/>
      <c r="D353" s="69"/>
      <c r="E353" s="69"/>
      <c r="F353" s="69"/>
      <c r="G353" s="69"/>
      <c r="H353" s="69"/>
      <c r="I353" s="69"/>
      <c r="J353" s="69"/>
      <c r="K353" t="str">
        <f t="shared" si="35"/>
        <v>Not a Lease</v>
      </c>
      <c r="L353" s="69"/>
      <c r="M353" s="69"/>
      <c r="N353" s="69"/>
      <c r="O353" s="69"/>
      <c r="P353" s="69"/>
      <c r="Q353" s="69"/>
      <c r="R353" s="69"/>
      <c r="S353" s="69"/>
      <c r="T353" s="69"/>
      <c r="U353" s="69"/>
      <c r="V353" s="69"/>
      <c r="W353" s="69"/>
      <c r="X353" s="69"/>
      <c r="Y353" s="69"/>
      <c r="Z353">
        <f t="shared" ref="Z353:Z416" si="38">+IF(AB353=0,AA353+AC353,AB353)</f>
        <v>0</v>
      </c>
      <c r="AA353">
        <f t="shared" si="36"/>
        <v>0</v>
      </c>
      <c r="AB353">
        <f t="shared" si="37"/>
        <v>0</v>
      </c>
      <c r="AC353">
        <f>+IF(Table3[[#This Row],[Do Both Parties have to agree for extension to occur?]]="Yes",0,IF(AND(W353="Yes",Q353="Yes"),IF(R353=X353,R353,MAX(R353,X353)),IF(AND(W353="Yes",OR(Q353="No",Q353="")),X353,IF(AND(OR(W353="No",W353=""),Q353="Yes"),R353,0))))</f>
        <v>0</v>
      </c>
      <c r="AD353" s="69"/>
      <c r="AE353" s="69"/>
      <c r="AF353" t="str">
        <f>IF(AD353="Monthly",Table3[[#This Row],[Assessed Term]]*12,IF(AD353="quarterly",Table3[[#This Row],[Assessed Term]]*4,IF(AD353="annually",Table3[[#This Row],[Assessed Term]]*1,IF(AD353="weekly",Table3[[#This Row],[Assessed Term]]*52,IF(AD353="semiannually",Table3[[#This Row],[Assessed Term]]*2," ")))))</f>
        <v xml:space="preserve"> </v>
      </c>
      <c r="AG353" s="69"/>
      <c r="AH353" s="69"/>
      <c r="AI353" s="73"/>
      <c r="AJ353" s="73"/>
      <c r="AK353" s="73"/>
      <c r="AL353" s="69"/>
      <c r="AM353" s="69"/>
      <c r="AN353" s="120"/>
      <c r="AO353" s="76" t="b">
        <f>IF(K353 = "Lease",+PV(AN353/(AF353/Table3[[#This Row],[Assessed Term]]),AF353,-AI353,0,IF(AE353="Beginning",1,0)))</f>
        <v>0</v>
      </c>
      <c r="AP353" s="69"/>
      <c r="AQ353" s="76">
        <f t="shared" ref="AQ353:AQ416" si="39">+IF(AP353 = "no",AO353,0)</f>
        <v>0</v>
      </c>
      <c r="AR353" s="72"/>
    </row>
    <row r="354" spans="1:44">
      <c r="A354" s="69"/>
      <c r="B354" s="70"/>
      <c r="C354" s="69"/>
      <c r="D354" s="69"/>
      <c r="E354" s="69"/>
      <c r="F354" s="69"/>
      <c r="G354" s="69"/>
      <c r="H354" s="69"/>
      <c r="I354" s="69"/>
      <c r="J354" s="69"/>
      <c r="K354" t="str">
        <f t="shared" si="35"/>
        <v>Not a Lease</v>
      </c>
      <c r="L354" s="69"/>
      <c r="M354" s="69"/>
      <c r="N354" s="69"/>
      <c r="O354" s="69"/>
      <c r="P354" s="69"/>
      <c r="Q354" s="69"/>
      <c r="R354" s="69"/>
      <c r="S354" s="69"/>
      <c r="T354" s="69"/>
      <c r="U354" s="69"/>
      <c r="V354" s="69"/>
      <c r="W354" s="69"/>
      <c r="X354" s="69"/>
      <c r="Y354" s="69"/>
      <c r="Z354">
        <f t="shared" si="38"/>
        <v>0</v>
      </c>
      <c r="AA354">
        <f t="shared" si="36"/>
        <v>0</v>
      </c>
      <c r="AB354">
        <f t="shared" si="37"/>
        <v>0</v>
      </c>
      <c r="AC354">
        <f>+IF(Table3[[#This Row],[Do Both Parties have to agree for extension to occur?]]="Yes",0,IF(AND(W354="Yes",Q354="Yes"),IF(R354=X354,R354,MAX(R354,X354)),IF(AND(W354="Yes",OR(Q354="No",Q354="")),X354,IF(AND(OR(W354="No",W354=""),Q354="Yes"),R354,0))))</f>
        <v>0</v>
      </c>
      <c r="AD354" s="69"/>
      <c r="AE354" s="69"/>
      <c r="AF354" t="str">
        <f>IF(AD354="Monthly",Table3[[#This Row],[Assessed Term]]*12,IF(AD354="quarterly",Table3[[#This Row],[Assessed Term]]*4,IF(AD354="annually",Table3[[#This Row],[Assessed Term]]*1,IF(AD354="weekly",Table3[[#This Row],[Assessed Term]]*52,IF(AD354="semiannually",Table3[[#This Row],[Assessed Term]]*2," ")))))</f>
        <v xml:space="preserve"> </v>
      </c>
      <c r="AG354" s="69"/>
      <c r="AH354" s="69"/>
      <c r="AI354" s="73"/>
      <c r="AJ354" s="73"/>
      <c r="AK354" s="73"/>
      <c r="AL354" s="69"/>
      <c r="AM354" s="69"/>
      <c r="AN354" s="120"/>
      <c r="AO354" s="76" t="b">
        <f>IF(K354 = "Lease",+PV(AN354/(AF354/Table3[[#This Row],[Assessed Term]]),AF354,-AI354,0,IF(AE354="Beginning",1,0)))</f>
        <v>0</v>
      </c>
      <c r="AP354" s="69"/>
      <c r="AQ354" s="76">
        <f t="shared" si="39"/>
        <v>0</v>
      </c>
      <c r="AR354" s="72"/>
    </row>
    <row r="355" spans="1:44">
      <c r="A355" s="69"/>
      <c r="B355" s="70"/>
      <c r="C355" s="69"/>
      <c r="D355" s="69"/>
      <c r="E355" s="69"/>
      <c r="F355" s="69"/>
      <c r="G355" s="69"/>
      <c r="H355" s="69"/>
      <c r="I355" s="69"/>
      <c r="J355" s="69"/>
      <c r="K355" t="str">
        <f t="shared" si="35"/>
        <v>Not a Lease</v>
      </c>
      <c r="L355" s="69"/>
      <c r="M355" s="69"/>
      <c r="N355" s="69"/>
      <c r="O355" s="69"/>
      <c r="P355" s="69"/>
      <c r="Q355" s="69"/>
      <c r="R355" s="69"/>
      <c r="S355" s="69"/>
      <c r="T355" s="69"/>
      <c r="U355" s="69"/>
      <c r="V355" s="69"/>
      <c r="W355" s="69"/>
      <c r="X355" s="69"/>
      <c r="Y355" s="69"/>
      <c r="Z355">
        <f t="shared" si="38"/>
        <v>0</v>
      </c>
      <c r="AA355">
        <f t="shared" si="36"/>
        <v>0</v>
      </c>
      <c r="AB355">
        <f t="shared" si="37"/>
        <v>0</v>
      </c>
      <c r="AC355">
        <f>+IF(Table3[[#This Row],[Do Both Parties have to agree for extension to occur?]]="Yes",0,IF(AND(W355="Yes",Q355="Yes"),IF(R355=X355,R355,MAX(R355,X355)),IF(AND(W355="Yes",OR(Q355="No",Q355="")),X355,IF(AND(OR(W355="No",W355=""),Q355="Yes"),R355,0))))</f>
        <v>0</v>
      </c>
      <c r="AD355" s="69"/>
      <c r="AE355" s="69"/>
      <c r="AF355" t="str">
        <f>IF(AD355="Monthly",Table3[[#This Row],[Assessed Term]]*12,IF(AD355="quarterly",Table3[[#This Row],[Assessed Term]]*4,IF(AD355="annually",Table3[[#This Row],[Assessed Term]]*1,IF(AD355="weekly",Table3[[#This Row],[Assessed Term]]*52,IF(AD355="semiannually",Table3[[#This Row],[Assessed Term]]*2," ")))))</f>
        <v xml:space="preserve"> </v>
      </c>
      <c r="AG355" s="69"/>
      <c r="AH355" s="69"/>
      <c r="AI355" s="73"/>
      <c r="AJ355" s="73"/>
      <c r="AK355" s="73"/>
      <c r="AL355" s="69"/>
      <c r="AM355" s="69"/>
      <c r="AN355" s="120"/>
      <c r="AO355" s="76" t="b">
        <f>IF(K355 = "Lease",+PV(AN355/(AF355/Table3[[#This Row],[Assessed Term]]),AF355,-AI355,0,IF(AE355="Beginning",1,0)))</f>
        <v>0</v>
      </c>
      <c r="AP355" s="69"/>
      <c r="AQ355" s="76">
        <f t="shared" si="39"/>
        <v>0</v>
      </c>
      <c r="AR355" s="72"/>
    </row>
    <row r="356" spans="1:44">
      <c r="A356" s="69"/>
      <c r="B356" s="70"/>
      <c r="C356" s="69"/>
      <c r="D356" s="69"/>
      <c r="E356" s="69"/>
      <c r="F356" s="69"/>
      <c r="G356" s="69"/>
      <c r="H356" s="69"/>
      <c r="I356" s="69"/>
      <c r="J356" s="69"/>
      <c r="K356" t="str">
        <f t="shared" si="35"/>
        <v>Not a Lease</v>
      </c>
      <c r="L356" s="69"/>
      <c r="M356" s="69"/>
      <c r="N356" s="69"/>
      <c r="O356" s="69"/>
      <c r="P356" s="69"/>
      <c r="Q356" s="69"/>
      <c r="R356" s="69"/>
      <c r="S356" s="69"/>
      <c r="T356" s="69"/>
      <c r="U356" s="69"/>
      <c r="V356" s="69"/>
      <c r="W356" s="69"/>
      <c r="X356" s="69"/>
      <c r="Y356" s="69"/>
      <c r="Z356">
        <f t="shared" si="38"/>
        <v>0</v>
      </c>
      <c r="AA356">
        <f t="shared" si="36"/>
        <v>0</v>
      </c>
      <c r="AB356">
        <f t="shared" si="37"/>
        <v>0</v>
      </c>
      <c r="AC356">
        <f>+IF(Table3[[#This Row],[Do Both Parties have to agree for extension to occur?]]="Yes",0,IF(AND(W356="Yes",Q356="Yes"),IF(R356=X356,R356,MAX(R356,X356)),IF(AND(W356="Yes",OR(Q356="No",Q356="")),X356,IF(AND(OR(W356="No",W356=""),Q356="Yes"),R356,0))))</f>
        <v>0</v>
      </c>
      <c r="AD356" s="69"/>
      <c r="AE356" s="69"/>
      <c r="AF356" t="str">
        <f>IF(AD356="Monthly",Table3[[#This Row],[Assessed Term]]*12,IF(AD356="quarterly",Table3[[#This Row],[Assessed Term]]*4,IF(AD356="annually",Table3[[#This Row],[Assessed Term]]*1,IF(AD356="weekly",Table3[[#This Row],[Assessed Term]]*52,IF(AD356="semiannually",Table3[[#This Row],[Assessed Term]]*2," ")))))</f>
        <v xml:space="preserve"> </v>
      </c>
      <c r="AG356" s="69"/>
      <c r="AH356" s="69"/>
      <c r="AI356" s="73"/>
      <c r="AJ356" s="73"/>
      <c r="AK356" s="73"/>
      <c r="AL356" s="69"/>
      <c r="AM356" s="69"/>
      <c r="AN356" s="120"/>
      <c r="AO356" s="76" t="b">
        <f>IF(K356 = "Lease",+PV(AN356/(AF356/Table3[[#This Row],[Assessed Term]]),AF356,-AI356,0,IF(AE356="Beginning",1,0)))</f>
        <v>0</v>
      </c>
      <c r="AP356" s="69"/>
      <c r="AQ356" s="76">
        <f t="shared" si="39"/>
        <v>0</v>
      </c>
      <c r="AR356" s="72"/>
    </row>
    <row r="357" spans="1:44">
      <c r="A357" s="69"/>
      <c r="B357" s="70"/>
      <c r="C357" s="69"/>
      <c r="D357" s="69"/>
      <c r="E357" s="69"/>
      <c r="F357" s="69"/>
      <c r="G357" s="69"/>
      <c r="H357" s="69"/>
      <c r="I357" s="69"/>
      <c r="J357" s="69"/>
      <c r="K357" t="str">
        <f t="shared" si="35"/>
        <v>Not a Lease</v>
      </c>
      <c r="L357" s="69"/>
      <c r="M357" s="69"/>
      <c r="N357" s="69"/>
      <c r="O357" s="69"/>
      <c r="P357" s="69"/>
      <c r="Q357" s="69"/>
      <c r="R357" s="69"/>
      <c r="S357" s="69"/>
      <c r="T357" s="69"/>
      <c r="U357" s="69"/>
      <c r="V357" s="69"/>
      <c r="W357" s="69"/>
      <c r="X357" s="69"/>
      <c r="Y357" s="69"/>
      <c r="Z357">
        <f t="shared" si="38"/>
        <v>0</v>
      </c>
      <c r="AA357">
        <f t="shared" si="36"/>
        <v>0</v>
      </c>
      <c r="AB357">
        <f t="shared" si="37"/>
        <v>0</v>
      </c>
      <c r="AC357">
        <f>+IF(Table3[[#This Row],[Do Both Parties have to agree for extension to occur?]]="Yes",0,IF(AND(W357="Yes",Q357="Yes"),IF(R357=X357,R357,MAX(R357,X357)),IF(AND(W357="Yes",OR(Q357="No",Q357="")),X357,IF(AND(OR(W357="No",W357=""),Q357="Yes"),R357,0))))</f>
        <v>0</v>
      </c>
      <c r="AD357" s="69"/>
      <c r="AE357" s="69"/>
      <c r="AF357" t="str">
        <f>IF(AD357="Monthly",Table3[[#This Row],[Assessed Term]]*12,IF(AD357="quarterly",Table3[[#This Row],[Assessed Term]]*4,IF(AD357="annually",Table3[[#This Row],[Assessed Term]]*1,IF(AD357="weekly",Table3[[#This Row],[Assessed Term]]*52,IF(AD357="semiannually",Table3[[#This Row],[Assessed Term]]*2," ")))))</f>
        <v xml:space="preserve"> </v>
      </c>
      <c r="AG357" s="69"/>
      <c r="AH357" s="69"/>
      <c r="AI357" s="73"/>
      <c r="AJ357" s="73"/>
      <c r="AK357" s="73"/>
      <c r="AL357" s="69"/>
      <c r="AM357" s="69"/>
      <c r="AN357" s="120"/>
      <c r="AO357" s="76" t="b">
        <f>IF(K357 = "Lease",+PV(AN357/(AF357/Table3[[#This Row],[Assessed Term]]),AF357,-AI357,0,IF(AE357="Beginning",1,0)))</f>
        <v>0</v>
      </c>
      <c r="AP357" s="69"/>
      <c r="AQ357" s="76">
        <f t="shared" si="39"/>
        <v>0</v>
      </c>
      <c r="AR357" s="72"/>
    </row>
    <row r="358" spans="1:44">
      <c r="A358" s="69"/>
      <c r="B358" s="70"/>
      <c r="C358" s="69"/>
      <c r="D358" s="69"/>
      <c r="E358" s="69"/>
      <c r="F358" s="69"/>
      <c r="G358" s="69"/>
      <c r="H358" s="69"/>
      <c r="I358" s="69"/>
      <c r="J358" s="69"/>
      <c r="K358" t="str">
        <f t="shared" si="35"/>
        <v>Not a Lease</v>
      </c>
      <c r="L358" s="69"/>
      <c r="M358" s="69"/>
      <c r="N358" s="69"/>
      <c r="O358" s="69"/>
      <c r="P358" s="69"/>
      <c r="Q358" s="69"/>
      <c r="R358" s="69"/>
      <c r="S358" s="69"/>
      <c r="T358" s="69"/>
      <c r="U358" s="69"/>
      <c r="V358" s="69"/>
      <c r="W358" s="69"/>
      <c r="X358" s="69"/>
      <c r="Y358" s="69"/>
      <c r="Z358">
        <f t="shared" si="38"/>
        <v>0</v>
      </c>
      <c r="AA358">
        <f t="shared" si="36"/>
        <v>0</v>
      </c>
      <c r="AB358">
        <f t="shared" si="37"/>
        <v>0</v>
      </c>
      <c r="AC358">
        <f>+IF(Table3[[#This Row],[Do Both Parties have to agree for extension to occur?]]="Yes",0,IF(AND(W358="Yes",Q358="Yes"),IF(R358=X358,R358,MAX(R358,X358)),IF(AND(W358="Yes",OR(Q358="No",Q358="")),X358,IF(AND(OR(W358="No",W358=""),Q358="Yes"),R358,0))))</f>
        <v>0</v>
      </c>
      <c r="AD358" s="69"/>
      <c r="AE358" s="69"/>
      <c r="AF358" t="str">
        <f>IF(AD358="Monthly",Table3[[#This Row],[Assessed Term]]*12,IF(AD358="quarterly",Table3[[#This Row],[Assessed Term]]*4,IF(AD358="annually",Table3[[#This Row],[Assessed Term]]*1,IF(AD358="weekly",Table3[[#This Row],[Assessed Term]]*52,IF(AD358="semiannually",Table3[[#This Row],[Assessed Term]]*2," ")))))</f>
        <v xml:space="preserve"> </v>
      </c>
      <c r="AG358" s="69"/>
      <c r="AH358" s="69"/>
      <c r="AI358" s="73"/>
      <c r="AJ358" s="73"/>
      <c r="AK358" s="73"/>
      <c r="AL358" s="69"/>
      <c r="AM358" s="69"/>
      <c r="AN358" s="120"/>
      <c r="AO358" s="76" t="b">
        <f>IF(K358 = "Lease",+PV(AN358/(AF358/Table3[[#This Row],[Assessed Term]]),AF358,-AI358,0,IF(AE358="Beginning",1,0)))</f>
        <v>0</v>
      </c>
      <c r="AP358" s="69"/>
      <c r="AQ358" s="76">
        <f t="shared" si="39"/>
        <v>0</v>
      </c>
      <c r="AR358" s="72"/>
    </row>
    <row r="359" spans="1:44">
      <c r="A359" s="69"/>
      <c r="B359" s="70"/>
      <c r="C359" s="69"/>
      <c r="D359" s="69"/>
      <c r="E359" s="69"/>
      <c r="F359" s="69"/>
      <c r="G359" s="69"/>
      <c r="H359" s="69"/>
      <c r="I359" s="69"/>
      <c r="J359" s="69"/>
      <c r="K359" t="str">
        <f t="shared" si="35"/>
        <v>Not a Lease</v>
      </c>
      <c r="L359" s="69"/>
      <c r="M359" s="69"/>
      <c r="N359" s="69"/>
      <c r="O359" s="69"/>
      <c r="P359" s="69"/>
      <c r="Q359" s="69"/>
      <c r="R359" s="69"/>
      <c r="S359" s="69"/>
      <c r="T359" s="69"/>
      <c r="U359" s="69"/>
      <c r="V359" s="69"/>
      <c r="W359" s="69"/>
      <c r="X359" s="69"/>
      <c r="Y359" s="69"/>
      <c r="Z359">
        <f t="shared" si="38"/>
        <v>0</v>
      </c>
      <c r="AA359">
        <f t="shared" si="36"/>
        <v>0</v>
      </c>
      <c r="AB359">
        <f t="shared" si="37"/>
        <v>0</v>
      </c>
      <c r="AC359">
        <f>+IF(Table3[[#This Row],[Do Both Parties have to agree for extension to occur?]]="Yes",0,IF(AND(W359="Yes",Q359="Yes"),IF(R359=X359,R359,MAX(R359,X359)),IF(AND(W359="Yes",OR(Q359="No",Q359="")),X359,IF(AND(OR(W359="No",W359=""),Q359="Yes"),R359,0))))</f>
        <v>0</v>
      </c>
      <c r="AD359" s="69"/>
      <c r="AE359" s="69"/>
      <c r="AF359" t="str">
        <f>IF(AD359="Monthly",Table3[[#This Row],[Assessed Term]]*12,IF(AD359="quarterly",Table3[[#This Row],[Assessed Term]]*4,IF(AD359="annually",Table3[[#This Row],[Assessed Term]]*1,IF(AD359="weekly",Table3[[#This Row],[Assessed Term]]*52,IF(AD359="semiannually",Table3[[#This Row],[Assessed Term]]*2," ")))))</f>
        <v xml:space="preserve"> </v>
      </c>
      <c r="AG359" s="69"/>
      <c r="AH359" s="69"/>
      <c r="AI359" s="73"/>
      <c r="AJ359" s="73"/>
      <c r="AK359" s="73"/>
      <c r="AL359" s="69"/>
      <c r="AM359" s="69"/>
      <c r="AN359" s="120"/>
      <c r="AO359" s="76" t="b">
        <f>IF(K359 = "Lease",+PV(AN359/(AF359/Table3[[#This Row],[Assessed Term]]),AF359,-AI359,0,IF(AE359="Beginning",1,0)))</f>
        <v>0</v>
      </c>
      <c r="AP359" s="69"/>
      <c r="AQ359" s="76">
        <f t="shared" si="39"/>
        <v>0</v>
      </c>
      <c r="AR359" s="72"/>
    </row>
    <row r="360" spans="1:44">
      <c r="A360" s="69"/>
      <c r="B360" s="70"/>
      <c r="C360" s="69"/>
      <c r="D360" s="69"/>
      <c r="E360" s="69"/>
      <c r="F360" s="69"/>
      <c r="G360" s="69"/>
      <c r="H360" s="69"/>
      <c r="I360" s="69"/>
      <c r="J360" s="69"/>
      <c r="K360" t="str">
        <f t="shared" si="35"/>
        <v>Not a Lease</v>
      </c>
      <c r="L360" s="69"/>
      <c r="M360" s="69"/>
      <c r="N360" s="69"/>
      <c r="O360" s="69"/>
      <c r="P360" s="69"/>
      <c r="Q360" s="69"/>
      <c r="R360" s="69"/>
      <c r="S360" s="69"/>
      <c r="T360" s="69"/>
      <c r="U360" s="69"/>
      <c r="V360" s="69"/>
      <c r="W360" s="69"/>
      <c r="X360" s="69"/>
      <c r="Y360" s="69"/>
      <c r="Z360">
        <f t="shared" si="38"/>
        <v>0</v>
      </c>
      <c r="AA360">
        <f t="shared" si="36"/>
        <v>0</v>
      </c>
      <c r="AB360">
        <f t="shared" si="37"/>
        <v>0</v>
      </c>
      <c r="AC360">
        <f>+IF(Table3[[#This Row],[Do Both Parties have to agree for extension to occur?]]="Yes",0,IF(AND(W360="Yes",Q360="Yes"),IF(R360=X360,R360,MAX(R360,X360)),IF(AND(W360="Yes",OR(Q360="No",Q360="")),X360,IF(AND(OR(W360="No",W360=""),Q360="Yes"),R360,0))))</f>
        <v>0</v>
      </c>
      <c r="AD360" s="69"/>
      <c r="AE360" s="69"/>
      <c r="AF360" t="str">
        <f>IF(AD360="Monthly",Table3[[#This Row],[Assessed Term]]*12,IF(AD360="quarterly",Table3[[#This Row],[Assessed Term]]*4,IF(AD360="annually",Table3[[#This Row],[Assessed Term]]*1,IF(AD360="weekly",Table3[[#This Row],[Assessed Term]]*52,IF(AD360="semiannually",Table3[[#This Row],[Assessed Term]]*2," ")))))</f>
        <v xml:space="preserve"> </v>
      </c>
      <c r="AG360" s="69"/>
      <c r="AH360" s="69"/>
      <c r="AI360" s="73"/>
      <c r="AJ360" s="73"/>
      <c r="AK360" s="73"/>
      <c r="AL360" s="69"/>
      <c r="AM360" s="69"/>
      <c r="AN360" s="120"/>
      <c r="AO360" s="76" t="b">
        <f>IF(K360 = "Lease",+PV(AN360/(AF360/Table3[[#This Row],[Assessed Term]]),AF360,-AI360,0,IF(AE360="Beginning",1,0)))</f>
        <v>0</v>
      </c>
      <c r="AP360" s="69"/>
      <c r="AQ360" s="76">
        <f t="shared" si="39"/>
        <v>0</v>
      </c>
      <c r="AR360" s="72"/>
    </row>
    <row r="361" spans="1:44">
      <c r="A361" s="69"/>
      <c r="B361" s="70"/>
      <c r="C361" s="69"/>
      <c r="D361" s="69"/>
      <c r="E361" s="69"/>
      <c r="F361" s="69"/>
      <c r="G361" s="69"/>
      <c r="H361" s="69"/>
      <c r="I361" s="69"/>
      <c r="J361" s="69"/>
      <c r="K361" t="str">
        <f t="shared" si="35"/>
        <v>Not a Lease</v>
      </c>
      <c r="L361" s="69"/>
      <c r="M361" s="69"/>
      <c r="N361" s="69"/>
      <c r="O361" s="69"/>
      <c r="P361" s="69"/>
      <c r="Q361" s="69"/>
      <c r="R361" s="69"/>
      <c r="S361" s="69"/>
      <c r="T361" s="69"/>
      <c r="U361" s="69"/>
      <c r="V361" s="69"/>
      <c r="W361" s="69"/>
      <c r="X361" s="69"/>
      <c r="Y361" s="69"/>
      <c r="Z361">
        <f t="shared" si="38"/>
        <v>0</v>
      </c>
      <c r="AA361">
        <f t="shared" si="36"/>
        <v>0</v>
      </c>
      <c r="AB361">
        <f t="shared" si="37"/>
        <v>0</v>
      </c>
      <c r="AC361">
        <f>+IF(Table3[[#This Row],[Do Both Parties have to agree for extension to occur?]]="Yes",0,IF(AND(W361="Yes",Q361="Yes"),IF(R361=X361,R361,MAX(R361,X361)),IF(AND(W361="Yes",OR(Q361="No",Q361="")),X361,IF(AND(OR(W361="No",W361=""),Q361="Yes"),R361,0))))</f>
        <v>0</v>
      </c>
      <c r="AD361" s="69"/>
      <c r="AE361" s="69"/>
      <c r="AF361" t="str">
        <f>IF(AD361="Monthly",Table3[[#This Row],[Assessed Term]]*12,IF(AD361="quarterly",Table3[[#This Row],[Assessed Term]]*4,IF(AD361="annually",Table3[[#This Row],[Assessed Term]]*1,IF(AD361="weekly",Table3[[#This Row],[Assessed Term]]*52,IF(AD361="semiannually",Table3[[#This Row],[Assessed Term]]*2," ")))))</f>
        <v xml:space="preserve"> </v>
      </c>
      <c r="AG361" s="69"/>
      <c r="AH361" s="69"/>
      <c r="AI361" s="73"/>
      <c r="AJ361" s="73"/>
      <c r="AK361" s="73"/>
      <c r="AL361" s="69"/>
      <c r="AM361" s="69"/>
      <c r="AN361" s="120"/>
      <c r="AO361" s="76" t="b">
        <f>IF(K361 = "Lease",+PV(AN361/(AF361/Table3[[#This Row],[Assessed Term]]),AF361,-AI361,0,IF(AE361="Beginning",1,0)))</f>
        <v>0</v>
      </c>
      <c r="AP361" s="69"/>
      <c r="AQ361" s="76">
        <f t="shared" si="39"/>
        <v>0</v>
      </c>
      <c r="AR361" s="72"/>
    </row>
    <row r="362" spans="1:44">
      <c r="A362" s="69"/>
      <c r="B362" s="70"/>
      <c r="C362" s="69"/>
      <c r="D362" s="69"/>
      <c r="E362" s="69"/>
      <c r="F362" s="69"/>
      <c r="G362" s="69"/>
      <c r="H362" s="69"/>
      <c r="I362" s="69"/>
      <c r="J362" s="69"/>
      <c r="K362" t="str">
        <f t="shared" si="35"/>
        <v>Not a Lease</v>
      </c>
      <c r="L362" s="69"/>
      <c r="M362" s="69"/>
      <c r="N362" s="69"/>
      <c r="O362" s="69"/>
      <c r="P362" s="69"/>
      <c r="Q362" s="69"/>
      <c r="R362" s="69"/>
      <c r="S362" s="69"/>
      <c r="T362" s="69"/>
      <c r="U362" s="69"/>
      <c r="V362" s="69"/>
      <c r="W362" s="69"/>
      <c r="X362" s="69"/>
      <c r="Y362" s="69"/>
      <c r="Z362">
        <f t="shared" si="38"/>
        <v>0</v>
      </c>
      <c r="AA362">
        <f t="shared" si="36"/>
        <v>0</v>
      </c>
      <c r="AB362">
        <f t="shared" si="37"/>
        <v>0</v>
      </c>
      <c r="AC362">
        <f>+IF(Table3[[#This Row],[Do Both Parties have to agree for extension to occur?]]="Yes",0,IF(AND(W362="Yes",Q362="Yes"),IF(R362=X362,R362,MAX(R362,X362)),IF(AND(W362="Yes",OR(Q362="No",Q362="")),X362,IF(AND(OR(W362="No",W362=""),Q362="Yes"),R362,0))))</f>
        <v>0</v>
      </c>
      <c r="AD362" s="69"/>
      <c r="AE362" s="69"/>
      <c r="AF362" t="str">
        <f>IF(AD362="Monthly",Table3[[#This Row],[Assessed Term]]*12,IF(AD362="quarterly",Table3[[#This Row],[Assessed Term]]*4,IF(AD362="annually",Table3[[#This Row],[Assessed Term]]*1,IF(AD362="weekly",Table3[[#This Row],[Assessed Term]]*52,IF(AD362="semiannually",Table3[[#This Row],[Assessed Term]]*2," ")))))</f>
        <v xml:space="preserve"> </v>
      </c>
      <c r="AG362" s="69"/>
      <c r="AH362" s="69"/>
      <c r="AI362" s="73"/>
      <c r="AJ362" s="73"/>
      <c r="AK362" s="73"/>
      <c r="AL362" s="69"/>
      <c r="AM362" s="69"/>
      <c r="AN362" s="120"/>
      <c r="AO362" s="76" t="b">
        <f>IF(K362 = "Lease",+PV(AN362/(AF362/Table3[[#This Row],[Assessed Term]]),AF362,-AI362,0,IF(AE362="Beginning",1,0)))</f>
        <v>0</v>
      </c>
      <c r="AP362" s="69"/>
      <c r="AQ362" s="76">
        <f t="shared" si="39"/>
        <v>0</v>
      </c>
      <c r="AR362" s="72"/>
    </row>
    <row r="363" spans="1:44">
      <c r="A363" s="69"/>
      <c r="B363" s="70"/>
      <c r="C363" s="69"/>
      <c r="D363" s="69"/>
      <c r="E363" s="69"/>
      <c r="F363" s="69"/>
      <c r="G363" s="69"/>
      <c r="H363" s="69"/>
      <c r="I363" s="69"/>
      <c r="J363" s="69"/>
      <c r="K363" t="str">
        <f t="shared" si="35"/>
        <v>Not a Lease</v>
      </c>
      <c r="L363" s="69"/>
      <c r="M363" s="69"/>
      <c r="N363" s="69"/>
      <c r="O363" s="69"/>
      <c r="P363" s="69"/>
      <c r="Q363" s="69"/>
      <c r="R363" s="69"/>
      <c r="S363" s="69"/>
      <c r="T363" s="69"/>
      <c r="U363" s="69"/>
      <c r="V363" s="69"/>
      <c r="W363" s="69"/>
      <c r="X363" s="69"/>
      <c r="Y363" s="69"/>
      <c r="Z363">
        <f t="shared" si="38"/>
        <v>0</v>
      </c>
      <c r="AA363">
        <f t="shared" si="36"/>
        <v>0</v>
      </c>
      <c r="AB363">
        <f t="shared" si="37"/>
        <v>0</v>
      </c>
      <c r="AC363">
        <f>+IF(Table3[[#This Row],[Do Both Parties have to agree for extension to occur?]]="Yes",0,IF(AND(W363="Yes",Q363="Yes"),IF(R363=X363,R363,MAX(R363,X363)),IF(AND(W363="Yes",OR(Q363="No",Q363="")),X363,IF(AND(OR(W363="No",W363=""),Q363="Yes"),R363,0))))</f>
        <v>0</v>
      </c>
      <c r="AD363" s="69"/>
      <c r="AE363" s="69"/>
      <c r="AF363" t="str">
        <f>IF(AD363="Monthly",Table3[[#This Row],[Assessed Term]]*12,IF(AD363="quarterly",Table3[[#This Row],[Assessed Term]]*4,IF(AD363="annually",Table3[[#This Row],[Assessed Term]]*1,IF(AD363="weekly",Table3[[#This Row],[Assessed Term]]*52,IF(AD363="semiannually",Table3[[#This Row],[Assessed Term]]*2," ")))))</f>
        <v xml:space="preserve"> </v>
      </c>
      <c r="AG363" s="69"/>
      <c r="AH363" s="69"/>
      <c r="AI363" s="73"/>
      <c r="AJ363" s="73"/>
      <c r="AK363" s="73"/>
      <c r="AL363" s="69"/>
      <c r="AM363" s="69"/>
      <c r="AN363" s="120"/>
      <c r="AO363" s="76" t="b">
        <f>IF(K363 = "Lease",+PV(AN363/(AF363/Table3[[#This Row],[Assessed Term]]),AF363,-AI363,0,IF(AE363="Beginning",1,0)))</f>
        <v>0</v>
      </c>
      <c r="AP363" s="69"/>
      <c r="AQ363" s="76">
        <f t="shared" si="39"/>
        <v>0</v>
      </c>
      <c r="AR363" s="72"/>
    </row>
    <row r="364" spans="1:44">
      <c r="A364" s="69"/>
      <c r="B364" s="70"/>
      <c r="C364" s="69"/>
      <c r="D364" s="69"/>
      <c r="E364" s="69"/>
      <c r="F364" s="69"/>
      <c r="G364" s="69"/>
      <c r="H364" s="69"/>
      <c r="I364" s="69"/>
      <c r="J364" s="69"/>
      <c r="K364" t="str">
        <f t="shared" si="35"/>
        <v>Not a Lease</v>
      </c>
      <c r="L364" s="69"/>
      <c r="M364" s="69"/>
      <c r="N364" s="69"/>
      <c r="O364" s="69"/>
      <c r="P364" s="69"/>
      <c r="Q364" s="69"/>
      <c r="R364" s="69"/>
      <c r="S364" s="69"/>
      <c r="T364" s="69"/>
      <c r="U364" s="69"/>
      <c r="V364" s="69"/>
      <c r="W364" s="69"/>
      <c r="X364" s="69"/>
      <c r="Y364" s="69"/>
      <c r="Z364">
        <f t="shared" si="38"/>
        <v>0</v>
      </c>
      <c r="AA364">
        <f t="shared" si="36"/>
        <v>0</v>
      </c>
      <c r="AB364">
        <f t="shared" si="37"/>
        <v>0</v>
      </c>
      <c r="AC364">
        <f>+IF(Table3[[#This Row],[Do Both Parties have to agree for extension to occur?]]="Yes",0,IF(AND(W364="Yes",Q364="Yes"),IF(R364=X364,R364,MAX(R364,X364)),IF(AND(W364="Yes",OR(Q364="No",Q364="")),X364,IF(AND(OR(W364="No",W364=""),Q364="Yes"),R364,0))))</f>
        <v>0</v>
      </c>
      <c r="AD364" s="69"/>
      <c r="AE364" s="69"/>
      <c r="AF364" t="str">
        <f>IF(AD364="Monthly",Table3[[#This Row],[Assessed Term]]*12,IF(AD364="quarterly",Table3[[#This Row],[Assessed Term]]*4,IF(AD364="annually",Table3[[#This Row],[Assessed Term]]*1,IF(AD364="weekly",Table3[[#This Row],[Assessed Term]]*52,IF(AD364="semiannually",Table3[[#This Row],[Assessed Term]]*2," ")))))</f>
        <v xml:space="preserve"> </v>
      </c>
      <c r="AG364" s="69"/>
      <c r="AH364" s="69"/>
      <c r="AI364" s="73"/>
      <c r="AJ364" s="73"/>
      <c r="AK364" s="73"/>
      <c r="AL364" s="69"/>
      <c r="AM364" s="69"/>
      <c r="AN364" s="120"/>
      <c r="AO364" s="76" t="b">
        <f>IF(K364 = "Lease",+PV(AN364/(AF364/Table3[[#This Row],[Assessed Term]]),AF364,-AI364,0,IF(AE364="Beginning",1,0)))</f>
        <v>0</v>
      </c>
      <c r="AP364" s="69"/>
      <c r="AQ364" s="76">
        <f t="shared" si="39"/>
        <v>0</v>
      </c>
      <c r="AR364" s="72"/>
    </row>
    <row r="365" spans="1:44">
      <c r="A365" s="69"/>
      <c r="B365" s="70"/>
      <c r="C365" s="69"/>
      <c r="D365" s="69"/>
      <c r="E365" s="69"/>
      <c r="F365" s="69"/>
      <c r="G365" s="69"/>
      <c r="H365" s="69"/>
      <c r="I365" s="69"/>
      <c r="J365" s="69"/>
      <c r="K365" t="str">
        <f t="shared" si="35"/>
        <v>Not a Lease</v>
      </c>
      <c r="L365" s="69"/>
      <c r="M365" s="69"/>
      <c r="N365" s="69"/>
      <c r="O365" s="69"/>
      <c r="P365" s="69"/>
      <c r="Q365" s="69"/>
      <c r="R365" s="69"/>
      <c r="S365" s="69"/>
      <c r="T365" s="69"/>
      <c r="U365" s="69"/>
      <c r="V365" s="69"/>
      <c r="W365" s="69"/>
      <c r="X365" s="69"/>
      <c r="Y365" s="69"/>
      <c r="Z365">
        <f t="shared" si="38"/>
        <v>0</v>
      </c>
      <c r="AA365">
        <f t="shared" si="36"/>
        <v>0</v>
      </c>
      <c r="AB365">
        <f t="shared" si="37"/>
        <v>0</v>
      </c>
      <c r="AC365">
        <f>+IF(Table3[[#This Row],[Do Both Parties have to agree for extension to occur?]]="Yes",0,IF(AND(W365="Yes",Q365="Yes"),IF(R365=X365,R365,MAX(R365,X365)),IF(AND(W365="Yes",OR(Q365="No",Q365="")),X365,IF(AND(OR(W365="No",W365=""),Q365="Yes"),R365,0))))</f>
        <v>0</v>
      </c>
      <c r="AD365" s="69"/>
      <c r="AE365" s="69"/>
      <c r="AF365" t="str">
        <f>IF(AD365="Monthly",Table3[[#This Row],[Assessed Term]]*12,IF(AD365="quarterly",Table3[[#This Row],[Assessed Term]]*4,IF(AD365="annually",Table3[[#This Row],[Assessed Term]]*1,IF(AD365="weekly",Table3[[#This Row],[Assessed Term]]*52,IF(AD365="semiannually",Table3[[#This Row],[Assessed Term]]*2," ")))))</f>
        <v xml:space="preserve"> </v>
      </c>
      <c r="AG365" s="69"/>
      <c r="AH365" s="69"/>
      <c r="AI365" s="73"/>
      <c r="AJ365" s="73"/>
      <c r="AK365" s="73"/>
      <c r="AL365" s="69"/>
      <c r="AM365" s="69"/>
      <c r="AN365" s="120"/>
      <c r="AO365" s="76" t="b">
        <f>IF(K365 = "Lease",+PV(AN365/(AF365/Table3[[#This Row],[Assessed Term]]),AF365,-AI365,0,IF(AE365="Beginning",1,0)))</f>
        <v>0</v>
      </c>
      <c r="AP365" s="69"/>
      <c r="AQ365" s="76">
        <f t="shared" si="39"/>
        <v>0</v>
      </c>
      <c r="AR365" s="72"/>
    </row>
    <row r="366" spans="1:44">
      <c r="A366" s="69"/>
      <c r="B366" s="70"/>
      <c r="C366" s="69"/>
      <c r="D366" s="69"/>
      <c r="E366" s="69"/>
      <c r="F366" s="69"/>
      <c r="G366" s="69"/>
      <c r="H366" s="69"/>
      <c r="I366" s="69"/>
      <c r="J366" s="69"/>
      <c r="K366" t="str">
        <f t="shared" si="35"/>
        <v>Not a Lease</v>
      </c>
      <c r="L366" s="69"/>
      <c r="M366" s="69"/>
      <c r="N366" s="69"/>
      <c r="O366" s="69"/>
      <c r="P366" s="69"/>
      <c r="Q366" s="69"/>
      <c r="R366" s="69"/>
      <c r="S366" s="69"/>
      <c r="T366" s="69"/>
      <c r="U366" s="69"/>
      <c r="V366" s="69"/>
      <c r="W366" s="69"/>
      <c r="X366" s="69"/>
      <c r="Y366" s="69"/>
      <c r="Z366">
        <f t="shared" si="38"/>
        <v>0</v>
      </c>
      <c r="AA366">
        <f t="shared" si="36"/>
        <v>0</v>
      </c>
      <c r="AB366">
        <f t="shared" si="37"/>
        <v>0</v>
      </c>
      <c r="AC366">
        <f>+IF(Table3[[#This Row],[Do Both Parties have to agree for extension to occur?]]="Yes",0,IF(AND(W366="Yes",Q366="Yes"),IF(R366=X366,R366,MAX(R366,X366)),IF(AND(W366="Yes",OR(Q366="No",Q366="")),X366,IF(AND(OR(W366="No",W366=""),Q366="Yes"),R366,0))))</f>
        <v>0</v>
      </c>
      <c r="AD366" s="69"/>
      <c r="AE366" s="69"/>
      <c r="AF366" t="str">
        <f>IF(AD366="Monthly",Table3[[#This Row],[Assessed Term]]*12,IF(AD366="quarterly",Table3[[#This Row],[Assessed Term]]*4,IF(AD366="annually",Table3[[#This Row],[Assessed Term]]*1,IF(AD366="weekly",Table3[[#This Row],[Assessed Term]]*52,IF(AD366="semiannually",Table3[[#This Row],[Assessed Term]]*2," ")))))</f>
        <v xml:space="preserve"> </v>
      </c>
      <c r="AG366" s="69"/>
      <c r="AH366" s="69"/>
      <c r="AI366" s="73"/>
      <c r="AJ366" s="73"/>
      <c r="AK366" s="73"/>
      <c r="AL366" s="69"/>
      <c r="AM366" s="69"/>
      <c r="AN366" s="120"/>
      <c r="AO366" s="76" t="b">
        <f>IF(K366 = "Lease",+PV(AN366/(AF366/Table3[[#This Row],[Assessed Term]]),AF366,-AI366,0,IF(AE366="Beginning",1,0)))</f>
        <v>0</v>
      </c>
      <c r="AP366" s="69"/>
      <c r="AQ366" s="76">
        <f t="shared" si="39"/>
        <v>0</v>
      </c>
      <c r="AR366" s="72"/>
    </row>
    <row r="367" spans="1:44">
      <c r="A367" s="69"/>
      <c r="B367" s="70"/>
      <c r="C367" s="69"/>
      <c r="D367" s="69"/>
      <c r="E367" s="69"/>
      <c r="F367" s="69"/>
      <c r="G367" s="69"/>
      <c r="H367" s="69"/>
      <c r="I367" s="69"/>
      <c r="J367" s="69"/>
      <c r="K367" t="str">
        <f t="shared" si="35"/>
        <v>Not a Lease</v>
      </c>
      <c r="L367" s="69"/>
      <c r="M367" s="69"/>
      <c r="N367" s="69"/>
      <c r="O367" s="69"/>
      <c r="P367" s="69"/>
      <c r="Q367" s="69"/>
      <c r="R367" s="69"/>
      <c r="S367" s="69"/>
      <c r="T367" s="69"/>
      <c r="U367" s="69"/>
      <c r="V367" s="69"/>
      <c r="W367" s="69"/>
      <c r="X367" s="69"/>
      <c r="Y367" s="69"/>
      <c r="Z367">
        <f t="shared" si="38"/>
        <v>0</v>
      </c>
      <c r="AA367">
        <f t="shared" si="36"/>
        <v>0</v>
      </c>
      <c r="AB367">
        <f t="shared" si="37"/>
        <v>0</v>
      </c>
      <c r="AC367">
        <f>+IF(Table3[[#This Row],[Do Both Parties have to agree for extension to occur?]]="Yes",0,IF(AND(W367="Yes",Q367="Yes"),IF(R367=X367,R367,MAX(R367,X367)),IF(AND(W367="Yes",OR(Q367="No",Q367="")),X367,IF(AND(OR(W367="No",W367=""),Q367="Yes"),R367,0))))</f>
        <v>0</v>
      </c>
      <c r="AD367" s="69"/>
      <c r="AE367" s="69"/>
      <c r="AF367" t="str">
        <f>IF(AD367="Monthly",Table3[[#This Row],[Assessed Term]]*12,IF(AD367="quarterly",Table3[[#This Row],[Assessed Term]]*4,IF(AD367="annually",Table3[[#This Row],[Assessed Term]]*1,IF(AD367="weekly",Table3[[#This Row],[Assessed Term]]*52,IF(AD367="semiannually",Table3[[#This Row],[Assessed Term]]*2," ")))))</f>
        <v xml:space="preserve"> </v>
      </c>
      <c r="AG367" s="69"/>
      <c r="AH367" s="69"/>
      <c r="AI367" s="73"/>
      <c r="AJ367" s="73"/>
      <c r="AK367" s="73"/>
      <c r="AL367" s="69"/>
      <c r="AM367" s="69"/>
      <c r="AN367" s="120"/>
      <c r="AO367" s="76" t="b">
        <f>IF(K367 = "Lease",+PV(AN367/(AF367/Table3[[#This Row],[Assessed Term]]),AF367,-AI367,0,IF(AE367="Beginning",1,0)))</f>
        <v>0</v>
      </c>
      <c r="AP367" s="69"/>
      <c r="AQ367" s="76">
        <f t="shared" si="39"/>
        <v>0</v>
      </c>
      <c r="AR367" s="72"/>
    </row>
    <row r="368" spans="1:44">
      <c r="A368" s="69"/>
      <c r="B368" s="70"/>
      <c r="C368" s="69"/>
      <c r="D368" s="69"/>
      <c r="E368" s="69"/>
      <c r="F368" s="69"/>
      <c r="G368" s="69"/>
      <c r="H368" s="69"/>
      <c r="I368" s="69"/>
      <c r="J368" s="69"/>
      <c r="K368" t="str">
        <f t="shared" si="35"/>
        <v>Not a Lease</v>
      </c>
      <c r="L368" s="69"/>
      <c r="M368" s="69"/>
      <c r="N368" s="69"/>
      <c r="O368" s="69"/>
      <c r="P368" s="69"/>
      <c r="Q368" s="69"/>
      <c r="R368" s="69"/>
      <c r="S368" s="69"/>
      <c r="T368" s="69"/>
      <c r="U368" s="69"/>
      <c r="V368" s="69"/>
      <c r="W368" s="69"/>
      <c r="X368" s="69"/>
      <c r="Y368" s="69"/>
      <c r="Z368">
        <f t="shared" si="38"/>
        <v>0</v>
      </c>
      <c r="AA368">
        <f t="shared" si="36"/>
        <v>0</v>
      </c>
      <c r="AB368">
        <f t="shared" si="37"/>
        <v>0</v>
      </c>
      <c r="AC368">
        <f>+IF(Table3[[#This Row],[Do Both Parties have to agree for extension to occur?]]="Yes",0,IF(AND(W368="Yes",Q368="Yes"),IF(R368=X368,R368,MAX(R368,X368)),IF(AND(W368="Yes",OR(Q368="No",Q368="")),X368,IF(AND(OR(W368="No",W368=""),Q368="Yes"),R368,0))))</f>
        <v>0</v>
      </c>
      <c r="AD368" s="69"/>
      <c r="AE368" s="69"/>
      <c r="AF368" t="str">
        <f>IF(AD368="Monthly",Table3[[#This Row],[Assessed Term]]*12,IF(AD368="quarterly",Table3[[#This Row],[Assessed Term]]*4,IF(AD368="annually",Table3[[#This Row],[Assessed Term]]*1,IF(AD368="weekly",Table3[[#This Row],[Assessed Term]]*52,IF(AD368="semiannually",Table3[[#This Row],[Assessed Term]]*2," ")))))</f>
        <v xml:space="preserve"> </v>
      </c>
      <c r="AG368" s="69"/>
      <c r="AH368" s="69"/>
      <c r="AI368" s="73"/>
      <c r="AJ368" s="73"/>
      <c r="AK368" s="73"/>
      <c r="AL368" s="69"/>
      <c r="AM368" s="69"/>
      <c r="AN368" s="120"/>
      <c r="AO368" s="76" t="b">
        <f>IF(K368 = "Lease",+PV(AN368/(AF368/Table3[[#This Row],[Assessed Term]]),AF368,-AI368,0,IF(AE368="Beginning",1,0)))</f>
        <v>0</v>
      </c>
      <c r="AP368" s="69"/>
      <c r="AQ368" s="76">
        <f t="shared" si="39"/>
        <v>0</v>
      </c>
      <c r="AR368" s="72"/>
    </row>
    <row r="369" spans="1:44">
      <c r="A369" s="69"/>
      <c r="B369" s="70"/>
      <c r="C369" s="69"/>
      <c r="D369" s="69"/>
      <c r="E369" s="69"/>
      <c r="F369" s="69"/>
      <c r="G369" s="69"/>
      <c r="H369" s="69"/>
      <c r="I369" s="69"/>
      <c r="J369" s="69"/>
      <c r="K369" t="str">
        <f t="shared" si="35"/>
        <v>Not a Lease</v>
      </c>
      <c r="L369" s="69"/>
      <c r="M369" s="69"/>
      <c r="N369" s="69"/>
      <c r="O369" s="69"/>
      <c r="P369" s="69"/>
      <c r="Q369" s="69"/>
      <c r="R369" s="69"/>
      <c r="S369" s="69"/>
      <c r="T369" s="69"/>
      <c r="U369" s="69"/>
      <c r="V369" s="69"/>
      <c r="W369" s="69"/>
      <c r="X369" s="69"/>
      <c r="Y369" s="69"/>
      <c r="Z369">
        <f t="shared" si="38"/>
        <v>0</v>
      </c>
      <c r="AA369">
        <f t="shared" si="36"/>
        <v>0</v>
      </c>
      <c r="AB369">
        <f t="shared" si="37"/>
        <v>0</v>
      </c>
      <c r="AC369">
        <f>+IF(Table3[[#This Row],[Do Both Parties have to agree for extension to occur?]]="Yes",0,IF(AND(W369="Yes",Q369="Yes"),IF(R369=X369,R369,MAX(R369,X369)),IF(AND(W369="Yes",OR(Q369="No",Q369="")),X369,IF(AND(OR(W369="No",W369=""),Q369="Yes"),R369,0))))</f>
        <v>0</v>
      </c>
      <c r="AD369" s="69"/>
      <c r="AE369" s="69"/>
      <c r="AF369" t="str">
        <f>IF(AD369="Monthly",Table3[[#This Row],[Assessed Term]]*12,IF(AD369="quarterly",Table3[[#This Row],[Assessed Term]]*4,IF(AD369="annually",Table3[[#This Row],[Assessed Term]]*1,IF(AD369="weekly",Table3[[#This Row],[Assessed Term]]*52,IF(AD369="semiannually",Table3[[#This Row],[Assessed Term]]*2," ")))))</f>
        <v xml:space="preserve"> </v>
      </c>
      <c r="AG369" s="69"/>
      <c r="AH369" s="69"/>
      <c r="AI369" s="73"/>
      <c r="AJ369" s="73"/>
      <c r="AK369" s="73"/>
      <c r="AL369" s="69"/>
      <c r="AM369" s="69"/>
      <c r="AN369" s="120"/>
      <c r="AO369" s="76" t="b">
        <f>IF(K369 = "Lease",+PV(AN369/(AF369/Table3[[#This Row],[Assessed Term]]),AF369,-AI369,0,IF(AE369="Beginning",1,0)))</f>
        <v>0</v>
      </c>
      <c r="AP369" s="69"/>
      <c r="AQ369" s="76">
        <f t="shared" si="39"/>
        <v>0</v>
      </c>
      <c r="AR369" s="72"/>
    </row>
    <row r="370" spans="1:44">
      <c r="A370" s="69"/>
      <c r="B370" s="70"/>
      <c r="C370" s="69"/>
      <c r="D370" s="69"/>
      <c r="E370" s="69"/>
      <c r="F370" s="69"/>
      <c r="G370" s="69"/>
      <c r="H370" s="69"/>
      <c r="I370" s="69"/>
      <c r="J370" s="69"/>
      <c r="K370" t="str">
        <f t="shared" si="35"/>
        <v>Not a Lease</v>
      </c>
      <c r="L370" s="69"/>
      <c r="M370" s="69"/>
      <c r="N370" s="69"/>
      <c r="O370" s="69"/>
      <c r="P370" s="69"/>
      <c r="Q370" s="69"/>
      <c r="R370" s="69"/>
      <c r="S370" s="69"/>
      <c r="T370" s="69"/>
      <c r="U370" s="69"/>
      <c r="V370" s="69"/>
      <c r="W370" s="69"/>
      <c r="X370" s="69"/>
      <c r="Y370" s="69"/>
      <c r="Z370">
        <f t="shared" si="38"/>
        <v>0</v>
      </c>
      <c r="AA370">
        <f t="shared" si="36"/>
        <v>0</v>
      </c>
      <c r="AB370">
        <f t="shared" si="37"/>
        <v>0</v>
      </c>
      <c r="AC370">
        <f>+IF(Table3[[#This Row],[Do Both Parties have to agree for extension to occur?]]="Yes",0,IF(AND(W370="Yes",Q370="Yes"),IF(R370=X370,R370,MAX(R370,X370)),IF(AND(W370="Yes",OR(Q370="No",Q370="")),X370,IF(AND(OR(W370="No",W370=""),Q370="Yes"),R370,0))))</f>
        <v>0</v>
      </c>
      <c r="AD370" s="69"/>
      <c r="AE370" s="69"/>
      <c r="AF370" t="str">
        <f>IF(AD370="Monthly",Table3[[#This Row],[Assessed Term]]*12,IF(AD370="quarterly",Table3[[#This Row],[Assessed Term]]*4,IF(AD370="annually",Table3[[#This Row],[Assessed Term]]*1,IF(AD370="weekly",Table3[[#This Row],[Assessed Term]]*52,IF(AD370="semiannually",Table3[[#This Row],[Assessed Term]]*2," ")))))</f>
        <v xml:space="preserve"> </v>
      </c>
      <c r="AG370" s="69"/>
      <c r="AH370" s="69"/>
      <c r="AI370" s="73"/>
      <c r="AJ370" s="73"/>
      <c r="AK370" s="73"/>
      <c r="AL370" s="69"/>
      <c r="AM370" s="69"/>
      <c r="AN370" s="120"/>
      <c r="AO370" s="76" t="b">
        <f>IF(K370 = "Lease",+PV(AN370/(AF370/Table3[[#This Row],[Assessed Term]]),AF370,-AI370,0,IF(AE370="Beginning",1,0)))</f>
        <v>0</v>
      </c>
      <c r="AP370" s="69"/>
      <c r="AQ370" s="76">
        <f t="shared" si="39"/>
        <v>0</v>
      </c>
      <c r="AR370" s="72"/>
    </row>
    <row r="371" spans="1:44">
      <c r="A371" s="69"/>
      <c r="B371" s="70"/>
      <c r="C371" s="69"/>
      <c r="D371" s="69"/>
      <c r="E371" s="69"/>
      <c r="F371" s="69"/>
      <c r="G371" s="69"/>
      <c r="H371" s="69"/>
      <c r="I371" s="69"/>
      <c r="J371" s="69"/>
      <c r="K371" t="str">
        <f t="shared" si="35"/>
        <v>Not a Lease</v>
      </c>
      <c r="L371" s="69"/>
      <c r="M371" s="69"/>
      <c r="N371" s="69"/>
      <c r="O371" s="69"/>
      <c r="P371" s="69"/>
      <c r="Q371" s="69"/>
      <c r="R371" s="69"/>
      <c r="S371" s="69"/>
      <c r="T371" s="69"/>
      <c r="U371" s="69"/>
      <c r="V371" s="69"/>
      <c r="W371" s="69"/>
      <c r="X371" s="69"/>
      <c r="Y371" s="69"/>
      <c r="Z371">
        <f t="shared" si="38"/>
        <v>0</v>
      </c>
      <c r="AA371">
        <f t="shared" si="36"/>
        <v>0</v>
      </c>
      <c r="AB371">
        <f t="shared" si="37"/>
        <v>0</v>
      </c>
      <c r="AC371">
        <f>+IF(Table3[[#This Row],[Do Both Parties have to agree for extension to occur?]]="Yes",0,IF(AND(W371="Yes",Q371="Yes"),IF(R371=X371,R371,MAX(R371,X371)),IF(AND(W371="Yes",OR(Q371="No",Q371="")),X371,IF(AND(OR(W371="No",W371=""),Q371="Yes"),R371,0))))</f>
        <v>0</v>
      </c>
      <c r="AD371" s="69"/>
      <c r="AE371" s="69"/>
      <c r="AF371" t="str">
        <f>IF(AD371="Monthly",Table3[[#This Row],[Assessed Term]]*12,IF(AD371="quarterly",Table3[[#This Row],[Assessed Term]]*4,IF(AD371="annually",Table3[[#This Row],[Assessed Term]]*1,IF(AD371="weekly",Table3[[#This Row],[Assessed Term]]*52,IF(AD371="semiannually",Table3[[#This Row],[Assessed Term]]*2," ")))))</f>
        <v xml:space="preserve"> </v>
      </c>
      <c r="AG371" s="69"/>
      <c r="AH371" s="69"/>
      <c r="AI371" s="73"/>
      <c r="AJ371" s="73"/>
      <c r="AK371" s="73"/>
      <c r="AL371" s="69"/>
      <c r="AM371" s="69"/>
      <c r="AN371" s="120"/>
      <c r="AO371" s="76" t="b">
        <f>IF(K371 = "Lease",+PV(AN371/(AF371/Table3[[#This Row],[Assessed Term]]),AF371,-AI371,0,IF(AE371="Beginning",1,0)))</f>
        <v>0</v>
      </c>
      <c r="AP371" s="69"/>
      <c r="AQ371" s="76">
        <f t="shared" si="39"/>
        <v>0</v>
      </c>
      <c r="AR371" s="72"/>
    </row>
    <row r="372" spans="1:44">
      <c r="A372" s="69"/>
      <c r="B372" s="70"/>
      <c r="C372" s="69"/>
      <c r="D372" s="69"/>
      <c r="E372" s="69"/>
      <c r="F372" s="69"/>
      <c r="G372" s="69"/>
      <c r="H372" s="69"/>
      <c r="I372" s="69"/>
      <c r="J372" s="69"/>
      <c r="K372" t="str">
        <f t="shared" si="35"/>
        <v>Not a Lease</v>
      </c>
      <c r="L372" s="69"/>
      <c r="M372" s="69"/>
      <c r="N372" s="69"/>
      <c r="O372" s="69"/>
      <c r="P372" s="69"/>
      <c r="Q372" s="69"/>
      <c r="R372" s="69"/>
      <c r="S372" s="69"/>
      <c r="T372" s="69"/>
      <c r="U372" s="69"/>
      <c r="V372" s="69"/>
      <c r="W372" s="69"/>
      <c r="X372" s="69"/>
      <c r="Y372" s="69"/>
      <c r="Z372">
        <f t="shared" si="38"/>
        <v>0</v>
      </c>
      <c r="AA372">
        <f t="shared" si="36"/>
        <v>0</v>
      </c>
      <c r="AB372">
        <f t="shared" si="37"/>
        <v>0</v>
      </c>
      <c r="AC372">
        <f>+IF(Table3[[#This Row],[Do Both Parties have to agree for extension to occur?]]="Yes",0,IF(AND(W372="Yes",Q372="Yes"),IF(R372=X372,R372,MAX(R372,X372)),IF(AND(W372="Yes",OR(Q372="No",Q372="")),X372,IF(AND(OR(W372="No",W372=""),Q372="Yes"),R372,0))))</f>
        <v>0</v>
      </c>
      <c r="AD372" s="69"/>
      <c r="AE372" s="69"/>
      <c r="AF372" t="str">
        <f>IF(AD372="Monthly",Table3[[#This Row],[Assessed Term]]*12,IF(AD372="quarterly",Table3[[#This Row],[Assessed Term]]*4,IF(AD372="annually",Table3[[#This Row],[Assessed Term]]*1,IF(AD372="weekly",Table3[[#This Row],[Assessed Term]]*52,IF(AD372="semiannually",Table3[[#This Row],[Assessed Term]]*2," ")))))</f>
        <v xml:space="preserve"> </v>
      </c>
      <c r="AG372" s="69"/>
      <c r="AH372" s="69"/>
      <c r="AI372" s="73"/>
      <c r="AJ372" s="73"/>
      <c r="AK372" s="73"/>
      <c r="AL372" s="69"/>
      <c r="AM372" s="69"/>
      <c r="AN372" s="120"/>
      <c r="AO372" s="76" t="b">
        <f>IF(K372 = "Lease",+PV(AN372/(AF372/Table3[[#This Row],[Assessed Term]]),AF372,-AI372,0,IF(AE372="Beginning",1,0)))</f>
        <v>0</v>
      </c>
      <c r="AP372" s="69"/>
      <c r="AQ372" s="76">
        <f t="shared" si="39"/>
        <v>0</v>
      </c>
      <c r="AR372" s="72"/>
    </row>
    <row r="373" spans="1:44">
      <c r="A373" s="69"/>
      <c r="B373" s="70"/>
      <c r="C373" s="69"/>
      <c r="D373" s="69"/>
      <c r="E373" s="69"/>
      <c r="F373" s="69"/>
      <c r="G373" s="69"/>
      <c r="H373" s="69"/>
      <c r="I373" s="69"/>
      <c r="J373" s="69"/>
      <c r="K373" t="str">
        <f t="shared" si="35"/>
        <v>Not a Lease</v>
      </c>
      <c r="L373" s="69"/>
      <c r="M373" s="69"/>
      <c r="N373" s="69"/>
      <c r="O373" s="69"/>
      <c r="P373" s="69"/>
      <c r="Q373" s="69"/>
      <c r="R373" s="69"/>
      <c r="S373" s="69"/>
      <c r="T373" s="69"/>
      <c r="U373" s="69"/>
      <c r="V373" s="69"/>
      <c r="W373" s="69"/>
      <c r="X373" s="69"/>
      <c r="Y373" s="69"/>
      <c r="Z373">
        <f t="shared" si="38"/>
        <v>0</v>
      </c>
      <c r="AA373">
        <f t="shared" si="36"/>
        <v>0</v>
      </c>
      <c r="AB373">
        <f t="shared" si="37"/>
        <v>0</v>
      </c>
      <c r="AC373">
        <f>+IF(Table3[[#This Row],[Do Both Parties have to agree for extension to occur?]]="Yes",0,IF(AND(W373="Yes",Q373="Yes"),IF(R373=X373,R373,MAX(R373,X373)),IF(AND(W373="Yes",OR(Q373="No",Q373="")),X373,IF(AND(OR(W373="No",W373=""),Q373="Yes"),R373,0))))</f>
        <v>0</v>
      </c>
      <c r="AD373" s="69"/>
      <c r="AE373" s="69"/>
      <c r="AF373" t="str">
        <f>IF(AD373="Monthly",Table3[[#This Row],[Assessed Term]]*12,IF(AD373="quarterly",Table3[[#This Row],[Assessed Term]]*4,IF(AD373="annually",Table3[[#This Row],[Assessed Term]]*1,IF(AD373="weekly",Table3[[#This Row],[Assessed Term]]*52,IF(AD373="semiannually",Table3[[#This Row],[Assessed Term]]*2," ")))))</f>
        <v xml:space="preserve"> </v>
      </c>
      <c r="AG373" s="69"/>
      <c r="AH373" s="69"/>
      <c r="AI373" s="73"/>
      <c r="AJ373" s="73"/>
      <c r="AK373" s="73"/>
      <c r="AL373" s="69"/>
      <c r="AM373" s="69"/>
      <c r="AN373" s="120"/>
      <c r="AO373" s="76" t="b">
        <f>IF(K373 = "Lease",+PV(AN373/(AF373/Table3[[#This Row],[Assessed Term]]),AF373,-AI373,0,IF(AE373="Beginning",1,0)))</f>
        <v>0</v>
      </c>
      <c r="AP373" s="69"/>
      <c r="AQ373" s="76">
        <f t="shared" si="39"/>
        <v>0</v>
      </c>
      <c r="AR373" s="72"/>
    </row>
    <row r="374" spans="1:44">
      <c r="A374" s="69"/>
      <c r="B374" s="70"/>
      <c r="C374" s="69"/>
      <c r="D374" s="69"/>
      <c r="E374" s="69"/>
      <c r="F374" s="69"/>
      <c r="G374" s="69"/>
      <c r="H374" s="69"/>
      <c r="I374" s="69"/>
      <c r="J374" s="69"/>
      <c r="K374" t="str">
        <f t="shared" si="35"/>
        <v>Not a Lease</v>
      </c>
      <c r="L374" s="69"/>
      <c r="M374" s="69"/>
      <c r="N374" s="69"/>
      <c r="O374" s="69"/>
      <c r="P374" s="69"/>
      <c r="Q374" s="69"/>
      <c r="R374" s="69"/>
      <c r="S374" s="69"/>
      <c r="T374" s="69"/>
      <c r="U374" s="69"/>
      <c r="V374" s="69"/>
      <c r="W374" s="69"/>
      <c r="X374" s="69"/>
      <c r="Y374" s="69"/>
      <c r="Z374">
        <f t="shared" si="38"/>
        <v>0</v>
      </c>
      <c r="AA374">
        <f t="shared" si="36"/>
        <v>0</v>
      </c>
      <c r="AB374">
        <f t="shared" si="37"/>
        <v>0</v>
      </c>
      <c r="AC374">
        <f>+IF(Table3[[#This Row],[Do Both Parties have to agree for extension to occur?]]="Yes",0,IF(AND(W374="Yes",Q374="Yes"),IF(R374=X374,R374,MAX(R374,X374)),IF(AND(W374="Yes",OR(Q374="No",Q374="")),X374,IF(AND(OR(W374="No",W374=""),Q374="Yes"),R374,0))))</f>
        <v>0</v>
      </c>
      <c r="AD374" s="69"/>
      <c r="AE374" s="69"/>
      <c r="AF374" t="str">
        <f>IF(AD374="Monthly",Table3[[#This Row],[Assessed Term]]*12,IF(AD374="quarterly",Table3[[#This Row],[Assessed Term]]*4,IF(AD374="annually",Table3[[#This Row],[Assessed Term]]*1,IF(AD374="weekly",Table3[[#This Row],[Assessed Term]]*52,IF(AD374="semiannually",Table3[[#This Row],[Assessed Term]]*2," ")))))</f>
        <v xml:space="preserve"> </v>
      </c>
      <c r="AG374" s="69"/>
      <c r="AH374" s="69"/>
      <c r="AI374" s="73"/>
      <c r="AJ374" s="73"/>
      <c r="AK374" s="73"/>
      <c r="AL374" s="69"/>
      <c r="AM374" s="69"/>
      <c r="AN374" s="120"/>
      <c r="AO374" s="76" t="b">
        <f>IF(K374 = "Lease",+PV(AN374/(AF374/Table3[[#This Row],[Assessed Term]]),AF374,-AI374,0,IF(AE374="Beginning",1,0)))</f>
        <v>0</v>
      </c>
      <c r="AP374" s="69"/>
      <c r="AQ374" s="76">
        <f t="shared" si="39"/>
        <v>0</v>
      </c>
      <c r="AR374" s="72"/>
    </row>
    <row r="375" spans="1:44">
      <c r="A375" s="69"/>
      <c r="B375" s="70"/>
      <c r="C375" s="69"/>
      <c r="D375" s="69"/>
      <c r="E375" s="69"/>
      <c r="F375" s="69"/>
      <c r="G375" s="69"/>
      <c r="H375" s="69"/>
      <c r="I375" s="69"/>
      <c r="J375" s="69"/>
      <c r="K375" t="str">
        <f t="shared" si="35"/>
        <v>Not a Lease</v>
      </c>
      <c r="L375" s="69"/>
      <c r="M375" s="69"/>
      <c r="N375" s="69"/>
      <c r="O375" s="69"/>
      <c r="P375" s="69"/>
      <c r="Q375" s="69"/>
      <c r="R375" s="69"/>
      <c r="S375" s="69"/>
      <c r="T375" s="69"/>
      <c r="U375" s="69"/>
      <c r="V375" s="69"/>
      <c r="W375" s="69"/>
      <c r="X375" s="69"/>
      <c r="Y375" s="69"/>
      <c r="Z375">
        <f t="shared" si="38"/>
        <v>0</v>
      </c>
      <c r="AA375">
        <f t="shared" si="36"/>
        <v>0</v>
      </c>
      <c r="AB375">
        <f t="shared" si="37"/>
        <v>0</v>
      </c>
      <c r="AC375">
        <f>+IF(Table3[[#This Row],[Do Both Parties have to agree for extension to occur?]]="Yes",0,IF(AND(W375="Yes",Q375="Yes"),IF(R375=X375,R375,MAX(R375,X375)),IF(AND(W375="Yes",OR(Q375="No",Q375="")),X375,IF(AND(OR(W375="No",W375=""),Q375="Yes"),R375,0))))</f>
        <v>0</v>
      </c>
      <c r="AD375" s="69"/>
      <c r="AE375" s="69"/>
      <c r="AF375" t="str">
        <f>IF(AD375="Monthly",Table3[[#This Row],[Assessed Term]]*12,IF(AD375="quarterly",Table3[[#This Row],[Assessed Term]]*4,IF(AD375="annually",Table3[[#This Row],[Assessed Term]]*1,IF(AD375="weekly",Table3[[#This Row],[Assessed Term]]*52,IF(AD375="semiannually",Table3[[#This Row],[Assessed Term]]*2," ")))))</f>
        <v xml:space="preserve"> </v>
      </c>
      <c r="AG375" s="69"/>
      <c r="AH375" s="69"/>
      <c r="AI375" s="73"/>
      <c r="AJ375" s="73"/>
      <c r="AK375" s="73"/>
      <c r="AL375" s="69"/>
      <c r="AM375" s="69"/>
      <c r="AN375" s="120"/>
      <c r="AO375" s="76" t="b">
        <f>IF(K375 = "Lease",+PV(AN375/(AF375/Table3[[#This Row],[Assessed Term]]),AF375,-AI375,0,IF(AE375="Beginning",1,0)))</f>
        <v>0</v>
      </c>
      <c r="AP375" s="69"/>
      <c r="AQ375" s="76">
        <f t="shared" si="39"/>
        <v>0</v>
      </c>
      <c r="AR375" s="72"/>
    </row>
    <row r="376" spans="1:44">
      <c r="A376" s="69"/>
      <c r="B376" s="70"/>
      <c r="C376" s="69"/>
      <c r="D376" s="69"/>
      <c r="E376" s="69"/>
      <c r="F376" s="69"/>
      <c r="G376" s="69"/>
      <c r="H376" s="69"/>
      <c r="I376" s="69"/>
      <c r="J376" s="69"/>
      <c r="K376" t="str">
        <f t="shared" si="35"/>
        <v>Not a Lease</v>
      </c>
      <c r="L376" s="69"/>
      <c r="M376" s="69"/>
      <c r="N376" s="69"/>
      <c r="O376" s="69"/>
      <c r="P376" s="69"/>
      <c r="Q376" s="69"/>
      <c r="R376" s="69"/>
      <c r="S376" s="69"/>
      <c r="T376" s="69"/>
      <c r="U376" s="69"/>
      <c r="V376" s="69"/>
      <c r="W376" s="69"/>
      <c r="X376" s="69"/>
      <c r="Y376" s="69"/>
      <c r="Z376">
        <f t="shared" si="38"/>
        <v>0</v>
      </c>
      <c r="AA376">
        <f t="shared" si="36"/>
        <v>0</v>
      </c>
      <c r="AB376">
        <f t="shared" si="37"/>
        <v>0</v>
      </c>
      <c r="AC376">
        <f>+IF(Table3[[#This Row],[Do Both Parties have to agree for extension to occur?]]="Yes",0,IF(AND(W376="Yes",Q376="Yes"),IF(R376=X376,R376,MAX(R376,X376)),IF(AND(W376="Yes",OR(Q376="No",Q376="")),X376,IF(AND(OR(W376="No",W376=""),Q376="Yes"),R376,0))))</f>
        <v>0</v>
      </c>
      <c r="AD376" s="69"/>
      <c r="AE376" s="69"/>
      <c r="AF376" t="str">
        <f>IF(AD376="Monthly",Table3[[#This Row],[Assessed Term]]*12,IF(AD376="quarterly",Table3[[#This Row],[Assessed Term]]*4,IF(AD376="annually",Table3[[#This Row],[Assessed Term]]*1,IF(AD376="weekly",Table3[[#This Row],[Assessed Term]]*52,IF(AD376="semiannually",Table3[[#This Row],[Assessed Term]]*2," ")))))</f>
        <v xml:space="preserve"> </v>
      </c>
      <c r="AG376" s="69"/>
      <c r="AH376" s="69"/>
      <c r="AI376" s="73"/>
      <c r="AJ376" s="73"/>
      <c r="AK376" s="73"/>
      <c r="AL376" s="69"/>
      <c r="AM376" s="69"/>
      <c r="AN376" s="120"/>
      <c r="AO376" s="76" t="b">
        <f>IF(K376 = "Lease",+PV(AN376/(AF376/Table3[[#This Row],[Assessed Term]]),AF376,-AI376,0,IF(AE376="Beginning",1,0)))</f>
        <v>0</v>
      </c>
      <c r="AP376" s="69"/>
      <c r="AQ376" s="76">
        <f t="shared" si="39"/>
        <v>0</v>
      </c>
      <c r="AR376" s="72"/>
    </row>
    <row r="377" spans="1:44">
      <c r="A377" s="69"/>
      <c r="B377" s="70"/>
      <c r="C377" s="69"/>
      <c r="D377" s="69"/>
      <c r="E377" s="69"/>
      <c r="F377" s="69"/>
      <c r="G377" s="69"/>
      <c r="H377" s="69"/>
      <c r="I377" s="69"/>
      <c r="J377" s="69"/>
      <c r="K377" t="str">
        <f t="shared" si="35"/>
        <v>Not a Lease</v>
      </c>
      <c r="L377" s="69"/>
      <c r="M377" s="69"/>
      <c r="N377" s="69"/>
      <c r="O377" s="69"/>
      <c r="P377" s="69"/>
      <c r="Q377" s="69"/>
      <c r="R377" s="69"/>
      <c r="S377" s="69"/>
      <c r="T377" s="69"/>
      <c r="U377" s="69"/>
      <c r="V377" s="69"/>
      <c r="W377" s="69"/>
      <c r="X377" s="69"/>
      <c r="Y377" s="69"/>
      <c r="Z377">
        <f t="shared" si="38"/>
        <v>0</v>
      </c>
      <c r="AA377">
        <f t="shared" si="36"/>
        <v>0</v>
      </c>
      <c r="AB377">
        <f t="shared" si="37"/>
        <v>0</v>
      </c>
      <c r="AC377">
        <f>+IF(Table3[[#This Row],[Do Both Parties have to agree for extension to occur?]]="Yes",0,IF(AND(W377="Yes",Q377="Yes"),IF(R377=X377,R377,MAX(R377,X377)),IF(AND(W377="Yes",OR(Q377="No",Q377="")),X377,IF(AND(OR(W377="No",W377=""),Q377="Yes"),R377,0))))</f>
        <v>0</v>
      </c>
      <c r="AD377" s="69"/>
      <c r="AE377" s="69"/>
      <c r="AF377" t="str">
        <f>IF(AD377="Monthly",Table3[[#This Row],[Assessed Term]]*12,IF(AD377="quarterly",Table3[[#This Row],[Assessed Term]]*4,IF(AD377="annually",Table3[[#This Row],[Assessed Term]]*1,IF(AD377="weekly",Table3[[#This Row],[Assessed Term]]*52,IF(AD377="semiannually",Table3[[#This Row],[Assessed Term]]*2," ")))))</f>
        <v xml:space="preserve"> </v>
      </c>
      <c r="AG377" s="69"/>
      <c r="AH377" s="69"/>
      <c r="AI377" s="73"/>
      <c r="AJ377" s="73"/>
      <c r="AK377" s="73"/>
      <c r="AL377" s="69"/>
      <c r="AM377" s="69"/>
      <c r="AN377" s="120"/>
      <c r="AO377" s="76" t="b">
        <f>IF(K377 = "Lease",+PV(AN377/(AF377/Table3[[#This Row],[Assessed Term]]),AF377,-AI377,0,IF(AE377="Beginning",1,0)))</f>
        <v>0</v>
      </c>
      <c r="AP377" s="69"/>
      <c r="AQ377" s="76">
        <f t="shared" si="39"/>
        <v>0</v>
      </c>
      <c r="AR377" s="72"/>
    </row>
    <row r="378" spans="1:44">
      <c r="A378" s="69"/>
      <c r="B378" s="70"/>
      <c r="C378" s="69"/>
      <c r="D378" s="69"/>
      <c r="E378" s="69"/>
      <c r="F378" s="69"/>
      <c r="G378" s="69"/>
      <c r="H378" s="69"/>
      <c r="I378" s="69"/>
      <c r="J378" s="69"/>
      <c r="K378" t="str">
        <f t="shared" si="35"/>
        <v>Not a Lease</v>
      </c>
      <c r="L378" s="69"/>
      <c r="M378" s="69"/>
      <c r="N378" s="69"/>
      <c r="O378" s="69"/>
      <c r="P378" s="69"/>
      <c r="Q378" s="69"/>
      <c r="R378" s="69"/>
      <c r="S378" s="69"/>
      <c r="T378" s="69"/>
      <c r="U378" s="69"/>
      <c r="V378" s="69"/>
      <c r="W378" s="69"/>
      <c r="X378" s="69"/>
      <c r="Y378" s="69"/>
      <c r="Z378">
        <f t="shared" si="38"/>
        <v>0</v>
      </c>
      <c r="AA378">
        <f t="shared" si="36"/>
        <v>0</v>
      </c>
      <c r="AB378">
        <f t="shared" si="37"/>
        <v>0</v>
      </c>
      <c r="AC378">
        <f>+IF(Table3[[#This Row],[Do Both Parties have to agree for extension to occur?]]="Yes",0,IF(AND(W378="Yes",Q378="Yes"),IF(R378=X378,R378,MAX(R378,X378)),IF(AND(W378="Yes",OR(Q378="No",Q378="")),X378,IF(AND(OR(W378="No",W378=""),Q378="Yes"),R378,0))))</f>
        <v>0</v>
      </c>
      <c r="AD378" s="69"/>
      <c r="AE378" s="69"/>
      <c r="AF378" t="str">
        <f>IF(AD378="Monthly",Table3[[#This Row],[Assessed Term]]*12,IF(AD378="quarterly",Table3[[#This Row],[Assessed Term]]*4,IF(AD378="annually",Table3[[#This Row],[Assessed Term]]*1,IF(AD378="weekly",Table3[[#This Row],[Assessed Term]]*52,IF(AD378="semiannually",Table3[[#This Row],[Assessed Term]]*2," ")))))</f>
        <v xml:space="preserve"> </v>
      </c>
      <c r="AG378" s="69"/>
      <c r="AH378" s="69"/>
      <c r="AI378" s="73"/>
      <c r="AJ378" s="73"/>
      <c r="AK378" s="73"/>
      <c r="AL378" s="69"/>
      <c r="AM378" s="69"/>
      <c r="AN378" s="120"/>
      <c r="AO378" s="76" t="b">
        <f>IF(K378 = "Lease",+PV(AN378/(AF378/Table3[[#This Row],[Assessed Term]]),AF378,-AI378,0,IF(AE378="Beginning",1,0)))</f>
        <v>0</v>
      </c>
      <c r="AP378" s="69"/>
      <c r="AQ378" s="76">
        <f t="shared" si="39"/>
        <v>0</v>
      </c>
      <c r="AR378" s="72"/>
    </row>
    <row r="379" spans="1:44">
      <c r="A379" s="69"/>
      <c r="B379" s="70"/>
      <c r="C379" s="69"/>
      <c r="D379" s="69"/>
      <c r="E379" s="69"/>
      <c r="F379" s="69"/>
      <c r="G379" s="69"/>
      <c r="H379" s="69"/>
      <c r="I379" s="69"/>
      <c r="J379" s="69"/>
      <c r="K379" t="str">
        <f t="shared" si="35"/>
        <v>Not a Lease</v>
      </c>
      <c r="L379" s="69"/>
      <c r="M379" s="69"/>
      <c r="N379" s="69"/>
      <c r="O379" s="69"/>
      <c r="P379" s="69"/>
      <c r="Q379" s="69"/>
      <c r="R379" s="69"/>
      <c r="S379" s="69"/>
      <c r="T379" s="69"/>
      <c r="U379" s="69"/>
      <c r="V379" s="69"/>
      <c r="W379" s="69"/>
      <c r="X379" s="69"/>
      <c r="Y379" s="69"/>
      <c r="Z379">
        <f t="shared" si="38"/>
        <v>0</v>
      </c>
      <c r="AA379">
        <f t="shared" si="36"/>
        <v>0</v>
      </c>
      <c r="AB379">
        <f t="shared" si="37"/>
        <v>0</v>
      </c>
      <c r="AC379">
        <f>+IF(Table3[[#This Row],[Do Both Parties have to agree for extension to occur?]]="Yes",0,IF(AND(W379="Yes",Q379="Yes"),IF(R379=X379,R379,MAX(R379,X379)),IF(AND(W379="Yes",OR(Q379="No",Q379="")),X379,IF(AND(OR(W379="No",W379=""),Q379="Yes"),R379,0))))</f>
        <v>0</v>
      </c>
      <c r="AD379" s="69"/>
      <c r="AE379" s="69"/>
      <c r="AF379" t="str">
        <f>IF(AD379="Monthly",Table3[[#This Row],[Assessed Term]]*12,IF(AD379="quarterly",Table3[[#This Row],[Assessed Term]]*4,IF(AD379="annually",Table3[[#This Row],[Assessed Term]]*1,IF(AD379="weekly",Table3[[#This Row],[Assessed Term]]*52,IF(AD379="semiannually",Table3[[#This Row],[Assessed Term]]*2," ")))))</f>
        <v xml:space="preserve"> </v>
      </c>
      <c r="AG379" s="69"/>
      <c r="AH379" s="69"/>
      <c r="AI379" s="73"/>
      <c r="AJ379" s="73"/>
      <c r="AK379" s="73"/>
      <c r="AL379" s="69"/>
      <c r="AM379" s="69"/>
      <c r="AN379" s="120"/>
      <c r="AO379" s="76" t="b">
        <f>IF(K379 = "Lease",+PV(AN379/(AF379/Table3[[#This Row],[Assessed Term]]),AF379,-AI379,0,IF(AE379="Beginning",1,0)))</f>
        <v>0</v>
      </c>
      <c r="AP379" s="69"/>
      <c r="AQ379" s="76">
        <f t="shared" si="39"/>
        <v>0</v>
      </c>
      <c r="AR379" s="72"/>
    </row>
    <row r="380" spans="1:44">
      <c r="A380" s="69"/>
      <c r="B380" s="70"/>
      <c r="C380" s="69"/>
      <c r="D380" s="69"/>
      <c r="E380" s="69"/>
      <c r="F380" s="69"/>
      <c r="G380" s="69"/>
      <c r="H380" s="69"/>
      <c r="I380" s="69"/>
      <c r="J380" s="69"/>
      <c r="K380" t="str">
        <f t="shared" si="35"/>
        <v>Not a Lease</v>
      </c>
      <c r="L380" s="69"/>
      <c r="M380" s="69"/>
      <c r="N380" s="69"/>
      <c r="O380" s="69"/>
      <c r="P380" s="69"/>
      <c r="Q380" s="69"/>
      <c r="R380" s="69"/>
      <c r="S380" s="69"/>
      <c r="T380" s="69"/>
      <c r="U380" s="69"/>
      <c r="V380" s="69"/>
      <c r="W380" s="69"/>
      <c r="X380" s="69"/>
      <c r="Y380" s="69"/>
      <c r="Z380">
        <f t="shared" si="38"/>
        <v>0</v>
      </c>
      <c r="AA380">
        <f t="shared" si="36"/>
        <v>0</v>
      </c>
      <c r="AB380">
        <f t="shared" si="37"/>
        <v>0</v>
      </c>
      <c r="AC380">
        <f>+IF(Table3[[#This Row],[Do Both Parties have to agree for extension to occur?]]="Yes",0,IF(AND(W380="Yes",Q380="Yes"),IF(R380=X380,R380,MAX(R380,X380)),IF(AND(W380="Yes",OR(Q380="No",Q380="")),X380,IF(AND(OR(W380="No",W380=""),Q380="Yes"),R380,0))))</f>
        <v>0</v>
      </c>
      <c r="AD380" s="69"/>
      <c r="AE380" s="69"/>
      <c r="AF380" t="str">
        <f>IF(AD380="Monthly",Table3[[#This Row],[Assessed Term]]*12,IF(AD380="quarterly",Table3[[#This Row],[Assessed Term]]*4,IF(AD380="annually",Table3[[#This Row],[Assessed Term]]*1,IF(AD380="weekly",Table3[[#This Row],[Assessed Term]]*52,IF(AD380="semiannually",Table3[[#This Row],[Assessed Term]]*2," ")))))</f>
        <v xml:space="preserve"> </v>
      </c>
      <c r="AG380" s="69"/>
      <c r="AH380" s="69"/>
      <c r="AI380" s="73"/>
      <c r="AJ380" s="73"/>
      <c r="AK380" s="73"/>
      <c r="AL380" s="69"/>
      <c r="AM380" s="69"/>
      <c r="AN380" s="120"/>
      <c r="AO380" s="76" t="b">
        <f>IF(K380 = "Lease",+PV(AN380/(AF380/Table3[[#This Row],[Assessed Term]]),AF380,-AI380,0,IF(AE380="Beginning",1,0)))</f>
        <v>0</v>
      </c>
      <c r="AP380" s="69"/>
      <c r="AQ380" s="76">
        <f t="shared" si="39"/>
        <v>0</v>
      </c>
      <c r="AR380" s="72"/>
    </row>
    <row r="381" spans="1:44">
      <c r="A381" s="69"/>
      <c r="B381" s="70"/>
      <c r="C381" s="69"/>
      <c r="D381" s="69"/>
      <c r="E381" s="69"/>
      <c r="F381" s="69"/>
      <c r="G381" s="69"/>
      <c r="H381" s="69"/>
      <c r="I381" s="69"/>
      <c r="J381" s="69"/>
      <c r="K381" t="str">
        <f t="shared" si="35"/>
        <v>Not a Lease</v>
      </c>
      <c r="L381" s="69"/>
      <c r="M381" s="69"/>
      <c r="N381" s="69"/>
      <c r="O381" s="69"/>
      <c r="P381" s="69"/>
      <c r="Q381" s="69"/>
      <c r="R381" s="69"/>
      <c r="S381" s="69"/>
      <c r="T381" s="69"/>
      <c r="U381" s="69"/>
      <c r="V381" s="69"/>
      <c r="W381" s="69"/>
      <c r="X381" s="69"/>
      <c r="Y381" s="69"/>
      <c r="Z381">
        <f t="shared" si="38"/>
        <v>0</v>
      </c>
      <c r="AA381">
        <f t="shared" si="36"/>
        <v>0</v>
      </c>
      <c r="AB381">
        <f t="shared" si="37"/>
        <v>0</v>
      </c>
      <c r="AC381">
        <f>+IF(Table3[[#This Row],[Do Both Parties have to agree for extension to occur?]]="Yes",0,IF(AND(W381="Yes",Q381="Yes"),IF(R381=X381,R381,MAX(R381,X381)),IF(AND(W381="Yes",OR(Q381="No",Q381="")),X381,IF(AND(OR(W381="No",W381=""),Q381="Yes"),R381,0))))</f>
        <v>0</v>
      </c>
      <c r="AD381" s="69"/>
      <c r="AE381" s="69"/>
      <c r="AF381" t="str">
        <f>IF(AD381="Monthly",Table3[[#This Row],[Assessed Term]]*12,IF(AD381="quarterly",Table3[[#This Row],[Assessed Term]]*4,IF(AD381="annually",Table3[[#This Row],[Assessed Term]]*1,IF(AD381="weekly",Table3[[#This Row],[Assessed Term]]*52,IF(AD381="semiannually",Table3[[#This Row],[Assessed Term]]*2," ")))))</f>
        <v xml:space="preserve"> </v>
      </c>
      <c r="AG381" s="69"/>
      <c r="AH381" s="69"/>
      <c r="AI381" s="73"/>
      <c r="AJ381" s="73"/>
      <c r="AK381" s="73"/>
      <c r="AL381" s="69"/>
      <c r="AM381" s="69"/>
      <c r="AN381" s="120"/>
      <c r="AO381" s="76" t="b">
        <f>IF(K381 = "Lease",+PV(AN381/(AF381/Table3[[#This Row],[Assessed Term]]),AF381,-AI381,0,IF(AE381="Beginning",1,0)))</f>
        <v>0</v>
      </c>
      <c r="AP381" s="69"/>
      <c r="AQ381" s="76">
        <f t="shared" si="39"/>
        <v>0</v>
      </c>
      <c r="AR381" s="72"/>
    </row>
    <row r="382" spans="1:44">
      <c r="A382" s="69"/>
      <c r="B382" s="70"/>
      <c r="C382" s="69"/>
      <c r="D382" s="69"/>
      <c r="E382" s="69"/>
      <c r="F382" s="69"/>
      <c r="G382" s="69"/>
      <c r="H382" s="69"/>
      <c r="I382" s="69"/>
      <c r="J382" s="69"/>
      <c r="K382" t="str">
        <f t="shared" si="35"/>
        <v>Not a Lease</v>
      </c>
      <c r="L382" s="69"/>
      <c r="M382" s="69"/>
      <c r="N382" s="69"/>
      <c r="O382" s="69"/>
      <c r="P382" s="69"/>
      <c r="Q382" s="69"/>
      <c r="R382" s="69"/>
      <c r="S382" s="69"/>
      <c r="T382" s="69"/>
      <c r="U382" s="69"/>
      <c r="V382" s="69"/>
      <c r="W382" s="69"/>
      <c r="X382" s="69"/>
      <c r="Y382" s="69"/>
      <c r="Z382">
        <f t="shared" si="38"/>
        <v>0</v>
      </c>
      <c r="AA382">
        <f t="shared" si="36"/>
        <v>0</v>
      </c>
      <c r="AB382">
        <f t="shared" si="37"/>
        <v>0</v>
      </c>
      <c r="AC382">
        <f>+IF(Table3[[#This Row],[Do Both Parties have to agree for extension to occur?]]="Yes",0,IF(AND(W382="Yes",Q382="Yes"),IF(R382=X382,R382,MAX(R382,X382)),IF(AND(W382="Yes",OR(Q382="No",Q382="")),X382,IF(AND(OR(W382="No",W382=""),Q382="Yes"),R382,0))))</f>
        <v>0</v>
      </c>
      <c r="AD382" s="69"/>
      <c r="AE382" s="69"/>
      <c r="AF382" t="str">
        <f>IF(AD382="Monthly",Table3[[#This Row],[Assessed Term]]*12,IF(AD382="quarterly",Table3[[#This Row],[Assessed Term]]*4,IF(AD382="annually",Table3[[#This Row],[Assessed Term]]*1,IF(AD382="weekly",Table3[[#This Row],[Assessed Term]]*52,IF(AD382="semiannually",Table3[[#This Row],[Assessed Term]]*2," ")))))</f>
        <v xml:space="preserve"> </v>
      </c>
      <c r="AG382" s="69"/>
      <c r="AH382" s="69"/>
      <c r="AI382" s="73"/>
      <c r="AJ382" s="73"/>
      <c r="AK382" s="73"/>
      <c r="AL382" s="69"/>
      <c r="AM382" s="69"/>
      <c r="AN382" s="120"/>
      <c r="AO382" s="76" t="b">
        <f>IF(K382 = "Lease",+PV(AN382/(AF382/Table3[[#This Row],[Assessed Term]]),AF382,-AI382,0,IF(AE382="Beginning",1,0)))</f>
        <v>0</v>
      </c>
      <c r="AP382" s="69"/>
      <c r="AQ382" s="76">
        <f t="shared" si="39"/>
        <v>0</v>
      </c>
      <c r="AR382" s="72"/>
    </row>
    <row r="383" spans="1:44">
      <c r="A383" s="69"/>
      <c r="B383" s="70"/>
      <c r="C383" s="69"/>
      <c r="D383" s="69"/>
      <c r="E383" s="69"/>
      <c r="F383" s="69"/>
      <c r="G383" s="69"/>
      <c r="H383" s="69"/>
      <c r="I383" s="69"/>
      <c r="J383" s="69"/>
      <c r="K383" t="str">
        <f t="shared" si="35"/>
        <v>Not a Lease</v>
      </c>
      <c r="L383" s="69"/>
      <c r="M383" s="69"/>
      <c r="N383" s="69"/>
      <c r="O383" s="69"/>
      <c r="P383" s="69"/>
      <c r="Q383" s="69"/>
      <c r="R383" s="69"/>
      <c r="S383" s="69"/>
      <c r="T383" s="69"/>
      <c r="U383" s="69"/>
      <c r="V383" s="69"/>
      <c r="W383" s="69"/>
      <c r="X383" s="69"/>
      <c r="Y383" s="69"/>
      <c r="Z383">
        <f t="shared" si="38"/>
        <v>0</v>
      </c>
      <c r="AA383">
        <f t="shared" si="36"/>
        <v>0</v>
      </c>
      <c r="AB383">
        <f t="shared" si="37"/>
        <v>0</v>
      </c>
      <c r="AC383">
        <f>+IF(Table3[[#This Row],[Do Both Parties have to agree for extension to occur?]]="Yes",0,IF(AND(W383="Yes",Q383="Yes"),IF(R383=X383,R383,MAX(R383,X383)),IF(AND(W383="Yes",OR(Q383="No",Q383="")),X383,IF(AND(OR(W383="No",W383=""),Q383="Yes"),R383,0))))</f>
        <v>0</v>
      </c>
      <c r="AD383" s="69"/>
      <c r="AE383" s="69"/>
      <c r="AF383" t="str">
        <f>IF(AD383="Monthly",Table3[[#This Row],[Assessed Term]]*12,IF(AD383="quarterly",Table3[[#This Row],[Assessed Term]]*4,IF(AD383="annually",Table3[[#This Row],[Assessed Term]]*1,IF(AD383="weekly",Table3[[#This Row],[Assessed Term]]*52,IF(AD383="semiannually",Table3[[#This Row],[Assessed Term]]*2," ")))))</f>
        <v xml:space="preserve"> </v>
      </c>
      <c r="AG383" s="69"/>
      <c r="AH383" s="69"/>
      <c r="AI383" s="73"/>
      <c r="AJ383" s="73"/>
      <c r="AK383" s="73"/>
      <c r="AL383" s="69"/>
      <c r="AM383" s="69"/>
      <c r="AN383" s="120"/>
      <c r="AO383" s="76" t="b">
        <f>IF(K383 = "Lease",+PV(AN383/(AF383/Table3[[#This Row],[Assessed Term]]),AF383,-AI383,0,IF(AE383="Beginning",1,0)))</f>
        <v>0</v>
      </c>
      <c r="AP383" s="69"/>
      <c r="AQ383" s="76">
        <f t="shared" si="39"/>
        <v>0</v>
      </c>
      <c r="AR383" s="72"/>
    </row>
    <row r="384" spans="1:44">
      <c r="A384" s="69"/>
      <c r="B384" s="70"/>
      <c r="C384" s="69"/>
      <c r="D384" s="69"/>
      <c r="E384" s="69"/>
      <c r="F384" s="69"/>
      <c r="G384" s="69"/>
      <c r="H384" s="69"/>
      <c r="I384" s="69"/>
      <c r="J384" s="69"/>
      <c r="K384" t="str">
        <f t="shared" si="35"/>
        <v>Not a Lease</v>
      </c>
      <c r="L384" s="69"/>
      <c r="M384" s="69"/>
      <c r="N384" s="69"/>
      <c r="O384" s="69"/>
      <c r="P384" s="69"/>
      <c r="Q384" s="69"/>
      <c r="R384" s="69"/>
      <c r="S384" s="69"/>
      <c r="T384" s="69"/>
      <c r="U384" s="69"/>
      <c r="V384" s="69"/>
      <c r="W384" s="69"/>
      <c r="X384" s="69"/>
      <c r="Y384" s="69"/>
      <c r="Z384">
        <f t="shared" si="38"/>
        <v>0</v>
      </c>
      <c r="AA384">
        <f t="shared" si="36"/>
        <v>0</v>
      </c>
      <c r="AB384">
        <f t="shared" si="37"/>
        <v>0</v>
      </c>
      <c r="AC384">
        <f>+IF(Table3[[#This Row],[Do Both Parties have to agree for extension to occur?]]="Yes",0,IF(AND(W384="Yes",Q384="Yes"),IF(R384=X384,R384,MAX(R384,X384)),IF(AND(W384="Yes",OR(Q384="No",Q384="")),X384,IF(AND(OR(W384="No",W384=""),Q384="Yes"),R384,0))))</f>
        <v>0</v>
      </c>
      <c r="AD384" s="69"/>
      <c r="AE384" s="69"/>
      <c r="AF384" t="str">
        <f>IF(AD384="Monthly",Table3[[#This Row],[Assessed Term]]*12,IF(AD384="quarterly",Table3[[#This Row],[Assessed Term]]*4,IF(AD384="annually",Table3[[#This Row],[Assessed Term]]*1,IF(AD384="weekly",Table3[[#This Row],[Assessed Term]]*52,IF(AD384="semiannually",Table3[[#This Row],[Assessed Term]]*2," ")))))</f>
        <v xml:space="preserve"> </v>
      </c>
      <c r="AG384" s="69"/>
      <c r="AH384" s="69"/>
      <c r="AI384" s="73"/>
      <c r="AJ384" s="73"/>
      <c r="AK384" s="73"/>
      <c r="AL384" s="69"/>
      <c r="AM384" s="69"/>
      <c r="AN384" s="120"/>
      <c r="AO384" s="76" t="b">
        <f>IF(K384 = "Lease",+PV(AN384/(AF384/Table3[[#This Row],[Assessed Term]]),AF384,-AI384,0,IF(AE384="Beginning",1,0)))</f>
        <v>0</v>
      </c>
      <c r="AP384" s="69"/>
      <c r="AQ384" s="76">
        <f t="shared" si="39"/>
        <v>0</v>
      </c>
      <c r="AR384" s="72"/>
    </row>
    <row r="385" spans="1:44">
      <c r="A385" s="69"/>
      <c r="B385" s="70"/>
      <c r="C385" s="69"/>
      <c r="D385" s="69"/>
      <c r="E385" s="69"/>
      <c r="F385" s="69"/>
      <c r="G385" s="69"/>
      <c r="H385" s="69"/>
      <c r="I385" s="69"/>
      <c r="J385" s="69"/>
      <c r="K385" t="str">
        <f t="shared" si="35"/>
        <v>Not a Lease</v>
      </c>
      <c r="L385" s="69"/>
      <c r="M385" s="69"/>
      <c r="N385" s="69"/>
      <c r="O385" s="69"/>
      <c r="P385" s="69"/>
      <c r="Q385" s="69"/>
      <c r="R385" s="69"/>
      <c r="S385" s="69"/>
      <c r="T385" s="69"/>
      <c r="U385" s="69"/>
      <c r="V385" s="69"/>
      <c r="W385" s="69"/>
      <c r="X385" s="69"/>
      <c r="Y385" s="69"/>
      <c r="Z385">
        <f t="shared" si="38"/>
        <v>0</v>
      </c>
      <c r="AA385">
        <f t="shared" si="36"/>
        <v>0</v>
      </c>
      <c r="AB385">
        <f t="shared" si="37"/>
        <v>0</v>
      </c>
      <c r="AC385">
        <f>+IF(Table3[[#This Row],[Do Both Parties have to agree for extension to occur?]]="Yes",0,IF(AND(W385="Yes",Q385="Yes"),IF(R385=X385,R385,MAX(R385,X385)),IF(AND(W385="Yes",OR(Q385="No",Q385="")),X385,IF(AND(OR(W385="No",W385=""),Q385="Yes"),R385,0))))</f>
        <v>0</v>
      </c>
      <c r="AD385" s="69"/>
      <c r="AE385" s="69"/>
      <c r="AF385" t="str">
        <f>IF(AD385="Monthly",Table3[[#This Row],[Assessed Term]]*12,IF(AD385="quarterly",Table3[[#This Row],[Assessed Term]]*4,IF(AD385="annually",Table3[[#This Row],[Assessed Term]]*1,IF(AD385="weekly",Table3[[#This Row],[Assessed Term]]*52,IF(AD385="semiannually",Table3[[#This Row],[Assessed Term]]*2," ")))))</f>
        <v xml:space="preserve"> </v>
      </c>
      <c r="AG385" s="69"/>
      <c r="AH385" s="69"/>
      <c r="AI385" s="73"/>
      <c r="AJ385" s="73"/>
      <c r="AK385" s="73"/>
      <c r="AL385" s="69"/>
      <c r="AM385" s="69"/>
      <c r="AN385" s="120"/>
      <c r="AO385" s="76" t="b">
        <f>IF(K385 = "Lease",+PV(AN385/(AF385/Table3[[#This Row],[Assessed Term]]),AF385,-AI385,0,IF(AE385="Beginning",1,0)))</f>
        <v>0</v>
      </c>
      <c r="AP385" s="69"/>
      <c r="AQ385" s="76">
        <f t="shared" si="39"/>
        <v>0</v>
      </c>
      <c r="AR385" s="72"/>
    </row>
    <row r="386" spans="1:44">
      <c r="A386" s="69"/>
      <c r="B386" s="70"/>
      <c r="C386" s="69"/>
      <c r="D386" s="69"/>
      <c r="E386" s="69"/>
      <c r="F386" s="69"/>
      <c r="G386" s="69"/>
      <c r="H386" s="69"/>
      <c r="I386" s="69"/>
      <c r="J386" s="69"/>
      <c r="K386" t="str">
        <f t="shared" si="35"/>
        <v>Not a Lease</v>
      </c>
      <c r="L386" s="69"/>
      <c r="M386" s="69"/>
      <c r="N386" s="69"/>
      <c r="O386" s="69"/>
      <c r="P386" s="69"/>
      <c r="Q386" s="69"/>
      <c r="R386" s="69"/>
      <c r="S386" s="69"/>
      <c r="T386" s="69"/>
      <c r="U386" s="69"/>
      <c r="V386" s="69"/>
      <c r="W386" s="69"/>
      <c r="X386" s="69"/>
      <c r="Y386" s="69"/>
      <c r="Z386">
        <f t="shared" si="38"/>
        <v>0</v>
      </c>
      <c r="AA386">
        <f t="shared" si="36"/>
        <v>0</v>
      </c>
      <c r="AB386">
        <f t="shared" si="37"/>
        <v>0</v>
      </c>
      <c r="AC386">
        <f>+IF(Table3[[#This Row],[Do Both Parties have to agree for extension to occur?]]="Yes",0,IF(AND(W386="Yes",Q386="Yes"),IF(R386=X386,R386,MAX(R386,X386)),IF(AND(W386="Yes",OR(Q386="No",Q386="")),X386,IF(AND(OR(W386="No",W386=""),Q386="Yes"),R386,0))))</f>
        <v>0</v>
      </c>
      <c r="AD386" s="69"/>
      <c r="AE386" s="69"/>
      <c r="AF386" t="str">
        <f>IF(AD386="Monthly",Table3[[#This Row],[Assessed Term]]*12,IF(AD386="quarterly",Table3[[#This Row],[Assessed Term]]*4,IF(AD386="annually",Table3[[#This Row],[Assessed Term]]*1,IF(AD386="weekly",Table3[[#This Row],[Assessed Term]]*52,IF(AD386="semiannually",Table3[[#This Row],[Assessed Term]]*2," ")))))</f>
        <v xml:space="preserve"> </v>
      </c>
      <c r="AG386" s="69"/>
      <c r="AH386" s="69"/>
      <c r="AI386" s="73"/>
      <c r="AJ386" s="73"/>
      <c r="AK386" s="73"/>
      <c r="AL386" s="69"/>
      <c r="AM386" s="69"/>
      <c r="AN386" s="120"/>
      <c r="AO386" s="76" t="b">
        <f>IF(K386 = "Lease",+PV(AN386/(AF386/Table3[[#This Row],[Assessed Term]]),AF386,-AI386,0,IF(AE386="Beginning",1,0)))</f>
        <v>0</v>
      </c>
      <c r="AP386" s="69"/>
      <c r="AQ386" s="76">
        <f t="shared" si="39"/>
        <v>0</v>
      </c>
      <c r="AR386" s="72"/>
    </row>
    <row r="387" spans="1:44">
      <c r="A387" s="69"/>
      <c r="B387" s="70"/>
      <c r="C387" s="69"/>
      <c r="D387" s="69"/>
      <c r="E387" s="69"/>
      <c r="F387" s="69"/>
      <c r="G387" s="69"/>
      <c r="H387" s="69"/>
      <c r="I387" s="69"/>
      <c r="J387" s="69"/>
      <c r="K387" t="str">
        <f t="shared" si="35"/>
        <v>Not a Lease</v>
      </c>
      <c r="L387" s="69"/>
      <c r="M387" s="69"/>
      <c r="N387" s="69"/>
      <c r="O387" s="69"/>
      <c r="P387" s="69"/>
      <c r="Q387" s="69"/>
      <c r="R387" s="69"/>
      <c r="S387" s="69"/>
      <c r="T387" s="69"/>
      <c r="U387" s="69"/>
      <c r="V387" s="69"/>
      <c r="W387" s="69"/>
      <c r="X387" s="69"/>
      <c r="Y387" s="69"/>
      <c r="Z387">
        <f t="shared" si="38"/>
        <v>0</v>
      </c>
      <c r="AA387">
        <f t="shared" si="36"/>
        <v>0</v>
      </c>
      <c r="AB387">
        <f t="shared" si="37"/>
        <v>0</v>
      </c>
      <c r="AC387">
        <f>+IF(Table3[[#This Row],[Do Both Parties have to agree for extension to occur?]]="Yes",0,IF(AND(W387="Yes",Q387="Yes"),IF(R387=X387,R387,MAX(R387,X387)),IF(AND(W387="Yes",OR(Q387="No",Q387="")),X387,IF(AND(OR(W387="No",W387=""),Q387="Yes"),R387,0))))</f>
        <v>0</v>
      </c>
      <c r="AD387" s="69"/>
      <c r="AE387" s="69"/>
      <c r="AF387" t="str">
        <f>IF(AD387="Monthly",Table3[[#This Row],[Assessed Term]]*12,IF(AD387="quarterly",Table3[[#This Row],[Assessed Term]]*4,IF(AD387="annually",Table3[[#This Row],[Assessed Term]]*1,IF(AD387="weekly",Table3[[#This Row],[Assessed Term]]*52,IF(AD387="semiannually",Table3[[#This Row],[Assessed Term]]*2," ")))))</f>
        <v xml:space="preserve"> </v>
      </c>
      <c r="AG387" s="69"/>
      <c r="AH387" s="69"/>
      <c r="AI387" s="73"/>
      <c r="AJ387" s="73"/>
      <c r="AK387" s="73"/>
      <c r="AL387" s="69"/>
      <c r="AM387" s="69"/>
      <c r="AN387" s="120"/>
      <c r="AO387" s="76" t="b">
        <f>IF(K387 = "Lease",+PV(AN387/(AF387/Table3[[#This Row],[Assessed Term]]),AF387,-AI387,0,IF(AE387="Beginning",1,0)))</f>
        <v>0</v>
      </c>
      <c r="AP387" s="69"/>
      <c r="AQ387" s="76">
        <f t="shared" si="39"/>
        <v>0</v>
      </c>
      <c r="AR387" s="72"/>
    </row>
    <row r="388" spans="1:44">
      <c r="A388" s="69"/>
      <c r="B388" s="70"/>
      <c r="C388" s="69"/>
      <c r="D388" s="69"/>
      <c r="E388" s="69"/>
      <c r="F388" s="69"/>
      <c r="G388" s="69"/>
      <c r="H388" s="69"/>
      <c r="I388" s="69"/>
      <c r="J388" s="69"/>
      <c r="K388" t="str">
        <f t="shared" ref="K388:K451" si="40">+IF(AND(F388="yes",G388="yes", H388="no",E388&lt;&gt;"Intangible Asset",E388&lt;&gt;"Service",I388 ="yes", E388&lt;&gt;"Investment", E388&lt;&gt;"Inventory",J388&lt;&gt;"Yes",E388&lt;&gt;""),"Lease","Not a Lease")</f>
        <v>Not a Lease</v>
      </c>
      <c r="L388" s="69"/>
      <c r="M388" s="69"/>
      <c r="N388" s="69"/>
      <c r="O388" s="69"/>
      <c r="P388" s="69"/>
      <c r="Q388" s="69"/>
      <c r="R388" s="69"/>
      <c r="S388" s="69"/>
      <c r="T388" s="69"/>
      <c r="U388" s="69"/>
      <c r="V388" s="69"/>
      <c r="W388" s="69"/>
      <c r="X388" s="69"/>
      <c r="Y388" s="69"/>
      <c r="Z388">
        <f t="shared" si="38"/>
        <v>0</v>
      </c>
      <c r="AA388">
        <f t="shared" ref="AA388:AA451" si="41">+IF(AND(S388="Yes",M388="Yes"),IF(OR(O388=U388,O388&lt;U388),U388,O388),L388)</f>
        <v>0</v>
      </c>
      <c r="AB388">
        <f t="shared" ref="AB388:AB451" si="42">+IF(M388=S388,MAX(O388,U388),(IF(OR(T388="yes",N388="Yes"),MIN(O388,U388),IF(AND(T388="Yes",N388="No"),U388,IF(AND(T388="No",N388="Yes"),O388,0)))))</f>
        <v>0</v>
      </c>
      <c r="AC388">
        <f>+IF(Table3[[#This Row],[Do Both Parties have to agree for extension to occur?]]="Yes",0,IF(AND(W388="Yes",Q388="Yes"),IF(R388=X388,R388,MAX(R388,X388)),IF(AND(W388="Yes",OR(Q388="No",Q388="")),X388,IF(AND(OR(W388="No",W388=""),Q388="Yes"),R388,0))))</f>
        <v>0</v>
      </c>
      <c r="AD388" s="69"/>
      <c r="AE388" s="69"/>
      <c r="AF388" t="str">
        <f>IF(AD388="Monthly",Table3[[#This Row],[Assessed Term]]*12,IF(AD388="quarterly",Table3[[#This Row],[Assessed Term]]*4,IF(AD388="annually",Table3[[#This Row],[Assessed Term]]*1,IF(AD388="weekly",Table3[[#This Row],[Assessed Term]]*52,IF(AD388="semiannually",Table3[[#This Row],[Assessed Term]]*2," ")))))</f>
        <v xml:space="preserve"> </v>
      </c>
      <c r="AG388" s="69"/>
      <c r="AH388" s="69"/>
      <c r="AI388" s="73"/>
      <c r="AJ388" s="73"/>
      <c r="AK388" s="73"/>
      <c r="AL388" s="69"/>
      <c r="AM388" s="69"/>
      <c r="AN388" s="120"/>
      <c r="AO388" s="76" t="b">
        <f>IF(K388 = "Lease",+PV(AN388/(AF388/Table3[[#This Row],[Assessed Term]]),AF388,-AI388,0,IF(AE388="Beginning",1,0)))</f>
        <v>0</v>
      </c>
      <c r="AP388" s="69"/>
      <c r="AQ388" s="76">
        <f t="shared" si="39"/>
        <v>0</v>
      </c>
      <c r="AR388" s="72"/>
    </row>
    <row r="389" spans="1:44">
      <c r="A389" s="69"/>
      <c r="B389" s="70"/>
      <c r="C389" s="69"/>
      <c r="D389" s="69"/>
      <c r="E389" s="69"/>
      <c r="F389" s="69"/>
      <c r="G389" s="69"/>
      <c r="H389" s="69"/>
      <c r="I389" s="69"/>
      <c r="J389" s="69"/>
      <c r="K389" t="str">
        <f t="shared" si="40"/>
        <v>Not a Lease</v>
      </c>
      <c r="L389" s="69"/>
      <c r="M389" s="69"/>
      <c r="N389" s="69"/>
      <c r="O389" s="69"/>
      <c r="P389" s="69"/>
      <c r="Q389" s="69"/>
      <c r="R389" s="69"/>
      <c r="S389" s="69"/>
      <c r="T389" s="69"/>
      <c r="U389" s="69"/>
      <c r="V389" s="69"/>
      <c r="W389" s="69"/>
      <c r="X389" s="69"/>
      <c r="Y389" s="69"/>
      <c r="Z389">
        <f t="shared" si="38"/>
        <v>0</v>
      </c>
      <c r="AA389">
        <f t="shared" si="41"/>
        <v>0</v>
      </c>
      <c r="AB389">
        <f t="shared" si="42"/>
        <v>0</v>
      </c>
      <c r="AC389">
        <f>+IF(Table3[[#This Row],[Do Both Parties have to agree for extension to occur?]]="Yes",0,IF(AND(W389="Yes",Q389="Yes"),IF(R389=X389,R389,MAX(R389,X389)),IF(AND(W389="Yes",OR(Q389="No",Q389="")),X389,IF(AND(OR(W389="No",W389=""),Q389="Yes"),R389,0))))</f>
        <v>0</v>
      </c>
      <c r="AD389" s="69"/>
      <c r="AE389" s="69"/>
      <c r="AF389" t="str">
        <f>IF(AD389="Monthly",Table3[[#This Row],[Assessed Term]]*12,IF(AD389="quarterly",Table3[[#This Row],[Assessed Term]]*4,IF(AD389="annually",Table3[[#This Row],[Assessed Term]]*1,IF(AD389="weekly",Table3[[#This Row],[Assessed Term]]*52,IF(AD389="semiannually",Table3[[#This Row],[Assessed Term]]*2," ")))))</f>
        <v xml:space="preserve"> </v>
      </c>
      <c r="AG389" s="69"/>
      <c r="AH389" s="69"/>
      <c r="AI389" s="73"/>
      <c r="AJ389" s="73"/>
      <c r="AK389" s="73"/>
      <c r="AL389" s="69"/>
      <c r="AM389" s="69"/>
      <c r="AN389" s="120"/>
      <c r="AO389" s="76" t="b">
        <f>IF(K389 = "Lease",+PV(AN389/(AF389/Table3[[#This Row],[Assessed Term]]),AF389,-AI389,0,IF(AE389="Beginning",1,0)))</f>
        <v>0</v>
      </c>
      <c r="AP389" s="69"/>
      <c r="AQ389" s="76">
        <f t="shared" si="39"/>
        <v>0</v>
      </c>
      <c r="AR389" s="72"/>
    </row>
    <row r="390" spans="1:44">
      <c r="A390" s="69"/>
      <c r="B390" s="70"/>
      <c r="C390" s="69"/>
      <c r="D390" s="69"/>
      <c r="E390" s="69"/>
      <c r="F390" s="69"/>
      <c r="G390" s="69"/>
      <c r="H390" s="69"/>
      <c r="I390" s="69"/>
      <c r="J390" s="69"/>
      <c r="K390" t="str">
        <f t="shared" si="40"/>
        <v>Not a Lease</v>
      </c>
      <c r="L390" s="69"/>
      <c r="M390" s="69"/>
      <c r="N390" s="69"/>
      <c r="O390" s="69"/>
      <c r="P390" s="69"/>
      <c r="Q390" s="69"/>
      <c r="R390" s="69"/>
      <c r="S390" s="69"/>
      <c r="T390" s="69"/>
      <c r="U390" s="69"/>
      <c r="V390" s="69"/>
      <c r="W390" s="69"/>
      <c r="X390" s="69"/>
      <c r="Y390" s="69"/>
      <c r="Z390">
        <f t="shared" si="38"/>
        <v>0</v>
      </c>
      <c r="AA390">
        <f t="shared" si="41"/>
        <v>0</v>
      </c>
      <c r="AB390">
        <f t="shared" si="42"/>
        <v>0</v>
      </c>
      <c r="AC390">
        <f>+IF(Table3[[#This Row],[Do Both Parties have to agree for extension to occur?]]="Yes",0,IF(AND(W390="Yes",Q390="Yes"),IF(R390=X390,R390,MAX(R390,X390)),IF(AND(W390="Yes",OR(Q390="No",Q390="")),X390,IF(AND(OR(W390="No",W390=""),Q390="Yes"),R390,0))))</f>
        <v>0</v>
      </c>
      <c r="AD390" s="69"/>
      <c r="AE390" s="69"/>
      <c r="AF390" t="str">
        <f>IF(AD390="Monthly",Table3[[#This Row],[Assessed Term]]*12,IF(AD390="quarterly",Table3[[#This Row],[Assessed Term]]*4,IF(AD390="annually",Table3[[#This Row],[Assessed Term]]*1,IF(AD390="weekly",Table3[[#This Row],[Assessed Term]]*52,IF(AD390="semiannually",Table3[[#This Row],[Assessed Term]]*2," ")))))</f>
        <v xml:space="preserve"> </v>
      </c>
      <c r="AG390" s="69"/>
      <c r="AH390" s="69"/>
      <c r="AI390" s="73"/>
      <c r="AJ390" s="73"/>
      <c r="AK390" s="73"/>
      <c r="AL390" s="69"/>
      <c r="AM390" s="69"/>
      <c r="AN390" s="120"/>
      <c r="AO390" s="76" t="b">
        <f>IF(K390 = "Lease",+PV(AN390/(AF390/Table3[[#This Row],[Assessed Term]]),AF390,-AI390,0,IF(AE390="Beginning",1,0)))</f>
        <v>0</v>
      </c>
      <c r="AP390" s="69"/>
      <c r="AQ390" s="76">
        <f t="shared" si="39"/>
        <v>0</v>
      </c>
      <c r="AR390" s="72"/>
    </row>
    <row r="391" spans="1:44">
      <c r="A391" s="69"/>
      <c r="B391" s="70"/>
      <c r="C391" s="69"/>
      <c r="D391" s="69"/>
      <c r="E391" s="69"/>
      <c r="F391" s="69"/>
      <c r="G391" s="69"/>
      <c r="H391" s="69"/>
      <c r="I391" s="69"/>
      <c r="J391" s="69"/>
      <c r="K391" t="str">
        <f t="shared" si="40"/>
        <v>Not a Lease</v>
      </c>
      <c r="L391" s="69"/>
      <c r="M391" s="69"/>
      <c r="N391" s="69"/>
      <c r="O391" s="69"/>
      <c r="P391" s="69"/>
      <c r="Q391" s="69"/>
      <c r="R391" s="69"/>
      <c r="S391" s="69"/>
      <c r="T391" s="69"/>
      <c r="U391" s="69"/>
      <c r="V391" s="69"/>
      <c r="W391" s="69"/>
      <c r="X391" s="69"/>
      <c r="Y391" s="69"/>
      <c r="Z391">
        <f t="shared" si="38"/>
        <v>0</v>
      </c>
      <c r="AA391">
        <f t="shared" si="41"/>
        <v>0</v>
      </c>
      <c r="AB391">
        <f t="shared" si="42"/>
        <v>0</v>
      </c>
      <c r="AC391">
        <f>+IF(Table3[[#This Row],[Do Both Parties have to agree for extension to occur?]]="Yes",0,IF(AND(W391="Yes",Q391="Yes"),IF(R391=X391,R391,MAX(R391,X391)),IF(AND(W391="Yes",OR(Q391="No",Q391="")),X391,IF(AND(OR(W391="No",W391=""),Q391="Yes"),R391,0))))</f>
        <v>0</v>
      </c>
      <c r="AD391" s="69"/>
      <c r="AE391" s="69"/>
      <c r="AF391" t="str">
        <f>IF(AD391="Monthly",Table3[[#This Row],[Assessed Term]]*12,IF(AD391="quarterly",Table3[[#This Row],[Assessed Term]]*4,IF(AD391="annually",Table3[[#This Row],[Assessed Term]]*1,IF(AD391="weekly",Table3[[#This Row],[Assessed Term]]*52,IF(AD391="semiannually",Table3[[#This Row],[Assessed Term]]*2," ")))))</f>
        <v xml:space="preserve"> </v>
      </c>
      <c r="AG391" s="69"/>
      <c r="AH391" s="69"/>
      <c r="AI391" s="73"/>
      <c r="AJ391" s="73"/>
      <c r="AK391" s="73"/>
      <c r="AL391" s="69"/>
      <c r="AM391" s="69"/>
      <c r="AN391" s="120"/>
      <c r="AO391" s="76" t="b">
        <f>IF(K391 = "Lease",+PV(AN391/(AF391/Table3[[#This Row],[Assessed Term]]),AF391,-AI391,0,IF(AE391="Beginning",1,0)))</f>
        <v>0</v>
      </c>
      <c r="AP391" s="69"/>
      <c r="AQ391" s="76">
        <f t="shared" si="39"/>
        <v>0</v>
      </c>
      <c r="AR391" s="72"/>
    </row>
    <row r="392" spans="1:44">
      <c r="A392" s="69"/>
      <c r="B392" s="70"/>
      <c r="C392" s="69"/>
      <c r="D392" s="69"/>
      <c r="E392" s="69"/>
      <c r="F392" s="69"/>
      <c r="G392" s="69"/>
      <c r="H392" s="69"/>
      <c r="I392" s="69"/>
      <c r="J392" s="69"/>
      <c r="K392" t="str">
        <f t="shared" si="40"/>
        <v>Not a Lease</v>
      </c>
      <c r="L392" s="69"/>
      <c r="M392" s="69"/>
      <c r="N392" s="69"/>
      <c r="O392" s="69"/>
      <c r="P392" s="69"/>
      <c r="Q392" s="69"/>
      <c r="R392" s="69"/>
      <c r="S392" s="69"/>
      <c r="T392" s="69"/>
      <c r="U392" s="69"/>
      <c r="V392" s="69"/>
      <c r="W392" s="69"/>
      <c r="X392" s="69"/>
      <c r="Y392" s="69"/>
      <c r="Z392">
        <f t="shared" si="38"/>
        <v>0</v>
      </c>
      <c r="AA392">
        <f t="shared" si="41"/>
        <v>0</v>
      </c>
      <c r="AB392">
        <f t="shared" si="42"/>
        <v>0</v>
      </c>
      <c r="AC392">
        <f>+IF(Table3[[#This Row],[Do Both Parties have to agree for extension to occur?]]="Yes",0,IF(AND(W392="Yes",Q392="Yes"),IF(R392=X392,R392,MAX(R392,X392)),IF(AND(W392="Yes",OR(Q392="No",Q392="")),X392,IF(AND(OR(W392="No",W392=""),Q392="Yes"),R392,0))))</f>
        <v>0</v>
      </c>
      <c r="AD392" s="69"/>
      <c r="AE392" s="69"/>
      <c r="AF392" t="str">
        <f>IF(AD392="Monthly",Table3[[#This Row],[Assessed Term]]*12,IF(AD392="quarterly",Table3[[#This Row],[Assessed Term]]*4,IF(AD392="annually",Table3[[#This Row],[Assessed Term]]*1,IF(AD392="weekly",Table3[[#This Row],[Assessed Term]]*52,IF(AD392="semiannually",Table3[[#This Row],[Assessed Term]]*2," ")))))</f>
        <v xml:space="preserve"> </v>
      </c>
      <c r="AG392" s="69"/>
      <c r="AH392" s="69"/>
      <c r="AI392" s="73"/>
      <c r="AJ392" s="73"/>
      <c r="AK392" s="73"/>
      <c r="AL392" s="69"/>
      <c r="AM392" s="69"/>
      <c r="AN392" s="120"/>
      <c r="AO392" s="76" t="b">
        <f>IF(K392 = "Lease",+PV(AN392/(AF392/Table3[[#This Row],[Assessed Term]]),AF392,-AI392,0,IF(AE392="Beginning",1,0)))</f>
        <v>0</v>
      </c>
      <c r="AP392" s="69"/>
      <c r="AQ392" s="76">
        <f t="shared" si="39"/>
        <v>0</v>
      </c>
      <c r="AR392" s="72"/>
    </row>
    <row r="393" spans="1:44">
      <c r="A393" s="69"/>
      <c r="B393" s="70"/>
      <c r="C393" s="69"/>
      <c r="D393" s="69"/>
      <c r="E393" s="69"/>
      <c r="F393" s="69"/>
      <c r="G393" s="69"/>
      <c r="H393" s="69"/>
      <c r="I393" s="69"/>
      <c r="J393" s="69"/>
      <c r="K393" t="str">
        <f t="shared" si="40"/>
        <v>Not a Lease</v>
      </c>
      <c r="L393" s="69"/>
      <c r="M393" s="69"/>
      <c r="N393" s="69"/>
      <c r="O393" s="69"/>
      <c r="P393" s="69"/>
      <c r="Q393" s="69"/>
      <c r="R393" s="69"/>
      <c r="S393" s="69"/>
      <c r="T393" s="69"/>
      <c r="U393" s="69"/>
      <c r="V393" s="69"/>
      <c r="W393" s="69"/>
      <c r="X393" s="69"/>
      <c r="Y393" s="69"/>
      <c r="Z393">
        <f t="shared" si="38"/>
        <v>0</v>
      </c>
      <c r="AA393">
        <f t="shared" si="41"/>
        <v>0</v>
      </c>
      <c r="AB393">
        <f t="shared" si="42"/>
        <v>0</v>
      </c>
      <c r="AC393">
        <f>+IF(Table3[[#This Row],[Do Both Parties have to agree for extension to occur?]]="Yes",0,IF(AND(W393="Yes",Q393="Yes"),IF(R393=X393,R393,MAX(R393,X393)),IF(AND(W393="Yes",OR(Q393="No",Q393="")),X393,IF(AND(OR(W393="No",W393=""),Q393="Yes"),R393,0))))</f>
        <v>0</v>
      </c>
      <c r="AD393" s="69"/>
      <c r="AE393" s="69"/>
      <c r="AF393" t="str">
        <f>IF(AD393="Monthly",Table3[[#This Row],[Assessed Term]]*12,IF(AD393="quarterly",Table3[[#This Row],[Assessed Term]]*4,IF(AD393="annually",Table3[[#This Row],[Assessed Term]]*1,IF(AD393="weekly",Table3[[#This Row],[Assessed Term]]*52,IF(AD393="semiannually",Table3[[#This Row],[Assessed Term]]*2," ")))))</f>
        <v xml:space="preserve"> </v>
      </c>
      <c r="AG393" s="69"/>
      <c r="AH393" s="69"/>
      <c r="AI393" s="73"/>
      <c r="AJ393" s="73"/>
      <c r="AK393" s="73"/>
      <c r="AL393" s="69"/>
      <c r="AM393" s="69"/>
      <c r="AN393" s="120"/>
      <c r="AO393" s="76" t="b">
        <f>IF(K393 = "Lease",+PV(AN393/(AF393/Table3[[#This Row],[Assessed Term]]),AF393,-AI393,0,IF(AE393="Beginning",1,0)))</f>
        <v>0</v>
      </c>
      <c r="AP393" s="69"/>
      <c r="AQ393" s="76">
        <f t="shared" si="39"/>
        <v>0</v>
      </c>
      <c r="AR393" s="72"/>
    </row>
    <row r="394" spans="1:44">
      <c r="A394" s="69"/>
      <c r="B394" s="70"/>
      <c r="C394" s="69"/>
      <c r="D394" s="69"/>
      <c r="E394" s="69"/>
      <c r="F394" s="69"/>
      <c r="G394" s="69"/>
      <c r="H394" s="69"/>
      <c r="I394" s="69"/>
      <c r="J394" s="69"/>
      <c r="K394" t="str">
        <f t="shared" si="40"/>
        <v>Not a Lease</v>
      </c>
      <c r="L394" s="69"/>
      <c r="M394" s="69"/>
      <c r="N394" s="69"/>
      <c r="O394" s="69"/>
      <c r="P394" s="69"/>
      <c r="Q394" s="69"/>
      <c r="R394" s="69"/>
      <c r="S394" s="69"/>
      <c r="T394" s="69"/>
      <c r="U394" s="69"/>
      <c r="V394" s="69"/>
      <c r="W394" s="69"/>
      <c r="X394" s="69"/>
      <c r="Y394" s="69"/>
      <c r="Z394">
        <f t="shared" si="38"/>
        <v>0</v>
      </c>
      <c r="AA394">
        <f t="shared" si="41"/>
        <v>0</v>
      </c>
      <c r="AB394">
        <f t="shared" si="42"/>
        <v>0</v>
      </c>
      <c r="AC394">
        <f>+IF(Table3[[#This Row],[Do Both Parties have to agree for extension to occur?]]="Yes",0,IF(AND(W394="Yes",Q394="Yes"),IF(R394=X394,R394,MAX(R394,X394)),IF(AND(W394="Yes",OR(Q394="No",Q394="")),X394,IF(AND(OR(W394="No",W394=""),Q394="Yes"),R394,0))))</f>
        <v>0</v>
      </c>
      <c r="AD394" s="69"/>
      <c r="AE394" s="69"/>
      <c r="AF394" t="str">
        <f>IF(AD394="Monthly",Table3[[#This Row],[Assessed Term]]*12,IF(AD394="quarterly",Table3[[#This Row],[Assessed Term]]*4,IF(AD394="annually",Table3[[#This Row],[Assessed Term]]*1,IF(AD394="weekly",Table3[[#This Row],[Assessed Term]]*52,IF(AD394="semiannually",Table3[[#This Row],[Assessed Term]]*2," ")))))</f>
        <v xml:space="preserve"> </v>
      </c>
      <c r="AG394" s="69"/>
      <c r="AH394" s="69"/>
      <c r="AI394" s="73"/>
      <c r="AJ394" s="73"/>
      <c r="AK394" s="73"/>
      <c r="AL394" s="69"/>
      <c r="AM394" s="69"/>
      <c r="AN394" s="120"/>
      <c r="AO394" s="76" t="b">
        <f>IF(K394 = "Lease",+PV(AN394/(AF394/Table3[[#This Row],[Assessed Term]]),AF394,-AI394,0,IF(AE394="Beginning",1,0)))</f>
        <v>0</v>
      </c>
      <c r="AP394" s="69"/>
      <c r="AQ394" s="76">
        <f t="shared" si="39"/>
        <v>0</v>
      </c>
      <c r="AR394" s="72"/>
    </row>
    <row r="395" spans="1:44">
      <c r="A395" s="69"/>
      <c r="B395" s="70"/>
      <c r="C395" s="69"/>
      <c r="D395" s="69"/>
      <c r="E395" s="69"/>
      <c r="F395" s="69"/>
      <c r="G395" s="69"/>
      <c r="H395" s="69"/>
      <c r="I395" s="69"/>
      <c r="J395" s="69"/>
      <c r="K395" t="str">
        <f t="shared" si="40"/>
        <v>Not a Lease</v>
      </c>
      <c r="L395" s="69"/>
      <c r="M395" s="69"/>
      <c r="N395" s="69"/>
      <c r="O395" s="69"/>
      <c r="P395" s="69"/>
      <c r="Q395" s="69"/>
      <c r="R395" s="69"/>
      <c r="S395" s="69"/>
      <c r="T395" s="69"/>
      <c r="U395" s="69"/>
      <c r="V395" s="69"/>
      <c r="W395" s="69"/>
      <c r="X395" s="69"/>
      <c r="Y395" s="69"/>
      <c r="Z395">
        <f t="shared" si="38"/>
        <v>0</v>
      </c>
      <c r="AA395">
        <f t="shared" si="41"/>
        <v>0</v>
      </c>
      <c r="AB395">
        <f t="shared" si="42"/>
        <v>0</v>
      </c>
      <c r="AC395">
        <f>+IF(Table3[[#This Row],[Do Both Parties have to agree for extension to occur?]]="Yes",0,IF(AND(W395="Yes",Q395="Yes"),IF(R395=X395,R395,MAX(R395,X395)),IF(AND(W395="Yes",OR(Q395="No",Q395="")),X395,IF(AND(OR(W395="No",W395=""),Q395="Yes"),R395,0))))</f>
        <v>0</v>
      </c>
      <c r="AD395" s="69"/>
      <c r="AE395" s="69"/>
      <c r="AF395" t="str">
        <f>IF(AD395="Monthly",Table3[[#This Row],[Assessed Term]]*12,IF(AD395="quarterly",Table3[[#This Row],[Assessed Term]]*4,IF(AD395="annually",Table3[[#This Row],[Assessed Term]]*1,IF(AD395="weekly",Table3[[#This Row],[Assessed Term]]*52,IF(AD395="semiannually",Table3[[#This Row],[Assessed Term]]*2," ")))))</f>
        <v xml:space="preserve"> </v>
      </c>
      <c r="AG395" s="69"/>
      <c r="AH395" s="69"/>
      <c r="AI395" s="73"/>
      <c r="AJ395" s="73"/>
      <c r="AK395" s="73"/>
      <c r="AL395" s="69"/>
      <c r="AM395" s="69"/>
      <c r="AN395" s="120"/>
      <c r="AO395" s="76" t="b">
        <f>IF(K395 = "Lease",+PV(AN395/(AF395/Table3[[#This Row],[Assessed Term]]),AF395,-AI395,0,IF(AE395="Beginning",1,0)))</f>
        <v>0</v>
      </c>
      <c r="AP395" s="69"/>
      <c r="AQ395" s="76">
        <f t="shared" si="39"/>
        <v>0</v>
      </c>
      <c r="AR395" s="72"/>
    </row>
    <row r="396" spans="1:44">
      <c r="A396" s="69"/>
      <c r="B396" s="70"/>
      <c r="C396" s="69"/>
      <c r="D396" s="69"/>
      <c r="E396" s="69"/>
      <c r="F396" s="69"/>
      <c r="G396" s="69"/>
      <c r="H396" s="69"/>
      <c r="I396" s="69"/>
      <c r="J396" s="69"/>
      <c r="K396" t="str">
        <f t="shared" si="40"/>
        <v>Not a Lease</v>
      </c>
      <c r="L396" s="69"/>
      <c r="M396" s="69"/>
      <c r="N396" s="69"/>
      <c r="O396" s="69"/>
      <c r="P396" s="69"/>
      <c r="Q396" s="69"/>
      <c r="R396" s="69"/>
      <c r="S396" s="69"/>
      <c r="T396" s="69"/>
      <c r="U396" s="69"/>
      <c r="V396" s="69"/>
      <c r="W396" s="69"/>
      <c r="X396" s="69"/>
      <c r="Y396" s="69"/>
      <c r="Z396">
        <f t="shared" si="38"/>
        <v>0</v>
      </c>
      <c r="AA396">
        <f t="shared" si="41"/>
        <v>0</v>
      </c>
      <c r="AB396">
        <f t="shared" si="42"/>
        <v>0</v>
      </c>
      <c r="AC396">
        <f>+IF(Table3[[#This Row],[Do Both Parties have to agree for extension to occur?]]="Yes",0,IF(AND(W396="Yes",Q396="Yes"),IF(R396=X396,R396,MAX(R396,X396)),IF(AND(W396="Yes",OR(Q396="No",Q396="")),X396,IF(AND(OR(W396="No",W396=""),Q396="Yes"),R396,0))))</f>
        <v>0</v>
      </c>
      <c r="AD396" s="69"/>
      <c r="AE396" s="69"/>
      <c r="AF396" t="str">
        <f>IF(AD396="Monthly",Table3[[#This Row],[Assessed Term]]*12,IF(AD396="quarterly",Table3[[#This Row],[Assessed Term]]*4,IF(AD396="annually",Table3[[#This Row],[Assessed Term]]*1,IF(AD396="weekly",Table3[[#This Row],[Assessed Term]]*52,IF(AD396="semiannually",Table3[[#This Row],[Assessed Term]]*2," ")))))</f>
        <v xml:space="preserve"> </v>
      </c>
      <c r="AG396" s="69"/>
      <c r="AH396" s="69"/>
      <c r="AI396" s="73"/>
      <c r="AJ396" s="73"/>
      <c r="AK396" s="73"/>
      <c r="AL396" s="69"/>
      <c r="AM396" s="69"/>
      <c r="AN396" s="120"/>
      <c r="AO396" s="76" t="b">
        <f>IF(K396 = "Lease",+PV(AN396/(AF396/Table3[[#This Row],[Assessed Term]]),AF396,-AI396,0,IF(AE396="Beginning",1,0)))</f>
        <v>0</v>
      </c>
      <c r="AP396" s="69"/>
      <c r="AQ396" s="76">
        <f t="shared" si="39"/>
        <v>0</v>
      </c>
      <c r="AR396" s="72"/>
    </row>
    <row r="397" spans="1:44">
      <c r="A397" s="69"/>
      <c r="B397" s="70"/>
      <c r="C397" s="69"/>
      <c r="D397" s="69"/>
      <c r="E397" s="69"/>
      <c r="F397" s="69"/>
      <c r="G397" s="69"/>
      <c r="H397" s="69"/>
      <c r="I397" s="69"/>
      <c r="J397" s="69"/>
      <c r="K397" t="str">
        <f t="shared" si="40"/>
        <v>Not a Lease</v>
      </c>
      <c r="L397" s="69"/>
      <c r="M397" s="69"/>
      <c r="N397" s="69"/>
      <c r="O397" s="69"/>
      <c r="P397" s="69"/>
      <c r="Q397" s="69"/>
      <c r="R397" s="69"/>
      <c r="S397" s="69"/>
      <c r="T397" s="69"/>
      <c r="U397" s="69"/>
      <c r="V397" s="69"/>
      <c r="W397" s="69"/>
      <c r="X397" s="69"/>
      <c r="Y397" s="69"/>
      <c r="Z397">
        <f t="shared" si="38"/>
        <v>0</v>
      </c>
      <c r="AA397">
        <f t="shared" si="41"/>
        <v>0</v>
      </c>
      <c r="AB397">
        <f t="shared" si="42"/>
        <v>0</v>
      </c>
      <c r="AC397">
        <f>+IF(Table3[[#This Row],[Do Both Parties have to agree for extension to occur?]]="Yes",0,IF(AND(W397="Yes",Q397="Yes"),IF(R397=X397,R397,MAX(R397,X397)),IF(AND(W397="Yes",OR(Q397="No",Q397="")),X397,IF(AND(OR(W397="No",W397=""),Q397="Yes"),R397,0))))</f>
        <v>0</v>
      </c>
      <c r="AD397" s="69"/>
      <c r="AE397" s="69"/>
      <c r="AF397" t="str">
        <f>IF(AD397="Monthly",Table3[[#This Row],[Assessed Term]]*12,IF(AD397="quarterly",Table3[[#This Row],[Assessed Term]]*4,IF(AD397="annually",Table3[[#This Row],[Assessed Term]]*1,IF(AD397="weekly",Table3[[#This Row],[Assessed Term]]*52,IF(AD397="semiannually",Table3[[#This Row],[Assessed Term]]*2," ")))))</f>
        <v xml:space="preserve"> </v>
      </c>
      <c r="AG397" s="69"/>
      <c r="AH397" s="69"/>
      <c r="AI397" s="73"/>
      <c r="AJ397" s="73"/>
      <c r="AK397" s="73"/>
      <c r="AL397" s="69"/>
      <c r="AM397" s="69"/>
      <c r="AN397" s="120"/>
      <c r="AO397" s="76" t="b">
        <f>IF(K397 = "Lease",+PV(AN397/(AF397/Table3[[#This Row],[Assessed Term]]),AF397,-AI397,0,IF(AE397="Beginning",1,0)))</f>
        <v>0</v>
      </c>
      <c r="AP397" s="69"/>
      <c r="AQ397" s="76">
        <f t="shared" si="39"/>
        <v>0</v>
      </c>
      <c r="AR397" s="72"/>
    </row>
    <row r="398" spans="1:44">
      <c r="A398" s="69"/>
      <c r="B398" s="70"/>
      <c r="C398" s="69"/>
      <c r="D398" s="69"/>
      <c r="E398" s="69"/>
      <c r="F398" s="69"/>
      <c r="G398" s="69"/>
      <c r="H398" s="69"/>
      <c r="I398" s="69"/>
      <c r="J398" s="69"/>
      <c r="K398" t="str">
        <f t="shared" si="40"/>
        <v>Not a Lease</v>
      </c>
      <c r="L398" s="69"/>
      <c r="M398" s="69"/>
      <c r="N398" s="69"/>
      <c r="O398" s="69"/>
      <c r="P398" s="69"/>
      <c r="Q398" s="69"/>
      <c r="R398" s="69"/>
      <c r="S398" s="69"/>
      <c r="T398" s="69"/>
      <c r="U398" s="69"/>
      <c r="V398" s="69"/>
      <c r="W398" s="69"/>
      <c r="X398" s="69"/>
      <c r="Y398" s="69"/>
      <c r="Z398">
        <f t="shared" si="38"/>
        <v>0</v>
      </c>
      <c r="AA398">
        <f t="shared" si="41"/>
        <v>0</v>
      </c>
      <c r="AB398">
        <f t="shared" si="42"/>
        <v>0</v>
      </c>
      <c r="AC398">
        <f>+IF(Table3[[#This Row],[Do Both Parties have to agree for extension to occur?]]="Yes",0,IF(AND(W398="Yes",Q398="Yes"),IF(R398=X398,R398,MAX(R398,X398)),IF(AND(W398="Yes",OR(Q398="No",Q398="")),X398,IF(AND(OR(W398="No",W398=""),Q398="Yes"),R398,0))))</f>
        <v>0</v>
      </c>
      <c r="AD398" s="69"/>
      <c r="AE398" s="69"/>
      <c r="AF398" t="str">
        <f>IF(AD398="Monthly",Table3[[#This Row],[Assessed Term]]*12,IF(AD398="quarterly",Table3[[#This Row],[Assessed Term]]*4,IF(AD398="annually",Table3[[#This Row],[Assessed Term]]*1,IF(AD398="weekly",Table3[[#This Row],[Assessed Term]]*52,IF(AD398="semiannually",Table3[[#This Row],[Assessed Term]]*2," ")))))</f>
        <v xml:space="preserve"> </v>
      </c>
      <c r="AG398" s="69"/>
      <c r="AH398" s="69"/>
      <c r="AI398" s="73"/>
      <c r="AJ398" s="73"/>
      <c r="AK398" s="73"/>
      <c r="AL398" s="69"/>
      <c r="AM398" s="69"/>
      <c r="AN398" s="120"/>
      <c r="AO398" s="76" t="b">
        <f>IF(K398 = "Lease",+PV(AN398/(AF398/Table3[[#This Row],[Assessed Term]]),AF398,-AI398,0,IF(AE398="Beginning",1,0)))</f>
        <v>0</v>
      </c>
      <c r="AP398" s="69"/>
      <c r="AQ398" s="76">
        <f t="shared" si="39"/>
        <v>0</v>
      </c>
      <c r="AR398" s="72"/>
    </row>
    <row r="399" spans="1:44">
      <c r="A399" s="69"/>
      <c r="B399" s="70"/>
      <c r="C399" s="69"/>
      <c r="D399" s="69"/>
      <c r="E399" s="69"/>
      <c r="F399" s="69"/>
      <c r="G399" s="69"/>
      <c r="H399" s="69"/>
      <c r="I399" s="69"/>
      <c r="J399" s="69"/>
      <c r="K399" t="str">
        <f t="shared" si="40"/>
        <v>Not a Lease</v>
      </c>
      <c r="L399" s="69"/>
      <c r="M399" s="69"/>
      <c r="N399" s="69"/>
      <c r="O399" s="69"/>
      <c r="P399" s="69"/>
      <c r="Q399" s="69"/>
      <c r="R399" s="69"/>
      <c r="S399" s="69"/>
      <c r="T399" s="69"/>
      <c r="U399" s="69"/>
      <c r="V399" s="69"/>
      <c r="W399" s="69"/>
      <c r="X399" s="69"/>
      <c r="Y399" s="69"/>
      <c r="Z399">
        <f t="shared" si="38"/>
        <v>0</v>
      </c>
      <c r="AA399">
        <f t="shared" si="41"/>
        <v>0</v>
      </c>
      <c r="AB399">
        <f t="shared" si="42"/>
        <v>0</v>
      </c>
      <c r="AC399">
        <f>+IF(Table3[[#This Row],[Do Both Parties have to agree for extension to occur?]]="Yes",0,IF(AND(W399="Yes",Q399="Yes"),IF(R399=X399,R399,MAX(R399,X399)),IF(AND(W399="Yes",OR(Q399="No",Q399="")),X399,IF(AND(OR(W399="No",W399=""),Q399="Yes"),R399,0))))</f>
        <v>0</v>
      </c>
      <c r="AD399" s="69"/>
      <c r="AE399" s="69"/>
      <c r="AF399" t="str">
        <f>IF(AD399="Monthly",Table3[[#This Row],[Assessed Term]]*12,IF(AD399="quarterly",Table3[[#This Row],[Assessed Term]]*4,IF(AD399="annually",Table3[[#This Row],[Assessed Term]]*1,IF(AD399="weekly",Table3[[#This Row],[Assessed Term]]*52,IF(AD399="semiannually",Table3[[#This Row],[Assessed Term]]*2," ")))))</f>
        <v xml:space="preserve"> </v>
      </c>
      <c r="AG399" s="69"/>
      <c r="AH399" s="69"/>
      <c r="AI399" s="73"/>
      <c r="AJ399" s="73"/>
      <c r="AK399" s="73"/>
      <c r="AL399" s="69"/>
      <c r="AM399" s="69"/>
      <c r="AN399" s="120"/>
      <c r="AO399" s="76" t="b">
        <f>IF(K399 = "Lease",+PV(AN399/(AF399/Table3[[#This Row],[Assessed Term]]),AF399,-AI399,0,IF(AE399="Beginning",1,0)))</f>
        <v>0</v>
      </c>
      <c r="AP399" s="69"/>
      <c r="AQ399" s="76">
        <f t="shared" si="39"/>
        <v>0</v>
      </c>
      <c r="AR399" s="72"/>
    </row>
    <row r="400" spans="1:44">
      <c r="A400" s="69"/>
      <c r="B400" s="70"/>
      <c r="C400" s="69"/>
      <c r="D400" s="69"/>
      <c r="E400" s="69"/>
      <c r="F400" s="69"/>
      <c r="G400" s="69"/>
      <c r="H400" s="69"/>
      <c r="I400" s="69"/>
      <c r="J400" s="69"/>
      <c r="K400" t="str">
        <f t="shared" si="40"/>
        <v>Not a Lease</v>
      </c>
      <c r="L400" s="69"/>
      <c r="M400" s="69"/>
      <c r="N400" s="69"/>
      <c r="O400" s="69"/>
      <c r="P400" s="69"/>
      <c r="Q400" s="69"/>
      <c r="R400" s="69"/>
      <c r="S400" s="69"/>
      <c r="T400" s="69"/>
      <c r="U400" s="69"/>
      <c r="V400" s="69"/>
      <c r="W400" s="69"/>
      <c r="X400" s="69"/>
      <c r="Y400" s="69"/>
      <c r="Z400">
        <f t="shared" si="38"/>
        <v>0</v>
      </c>
      <c r="AA400">
        <f t="shared" si="41"/>
        <v>0</v>
      </c>
      <c r="AB400">
        <f t="shared" si="42"/>
        <v>0</v>
      </c>
      <c r="AC400">
        <f>+IF(Table3[[#This Row],[Do Both Parties have to agree for extension to occur?]]="Yes",0,IF(AND(W400="Yes",Q400="Yes"),IF(R400=X400,R400,MAX(R400,X400)),IF(AND(W400="Yes",OR(Q400="No",Q400="")),X400,IF(AND(OR(W400="No",W400=""),Q400="Yes"),R400,0))))</f>
        <v>0</v>
      </c>
      <c r="AD400" s="69"/>
      <c r="AE400" s="69"/>
      <c r="AF400" t="str">
        <f>IF(AD400="Monthly",Table3[[#This Row],[Assessed Term]]*12,IF(AD400="quarterly",Table3[[#This Row],[Assessed Term]]*4,IF(AD400="annually",Table3[[#This Row],[Assessed Term]]*1,IF(AD400="weekly",Table3[[#This Row],[Assessed Term]]*52,IF(AD400="semiannually",Table3[[#This Row],[Assessed Term]]*2," ")))))</f>
        <v xml:space="preserve"> </v>
      </c>
      <c r="AG400" s="69"/>
      <c r="AH400" s="69"/>
      <c r="AI400" s="73"/>
      <c r="AJ400" s="73"/>
      <c r="AK400" s="73"/>
      <c r="AL400" s="69"/>
      <c r="AM400" s="69"/>
      <c r="AN400" s="120"/>
      <c r="AO400" s="76" t="b">
        <f>IF(K400 = "Lease",+PV(AN400/(AF400/Table3[[#This Row],[Assessed Term]]),AF400,-AI400,0,IF(AE400="Beginning",1,0)))</f>
        <v>0</v>
      </c>
      <c r="AP400" s="69"/>
      <c r="AQ400" s="76">
        <f t="shared" si="39"/>
        <v>0</v>
      </c>
      <c r="AR400" s="72"/>
    </row>
    <row r="401" spans="1:44">
      <c r="A401" s="69"/>
      <c r="B401" s="70"/>
      <c r="C401" s="69"/>
      <c r="D401" s="69"/>
      <c r="E401" s="69"/>
      <c r="F401" s="69"/>
      <c r="G401" s="69"/>
      <c r="H401" s="69"/>
      <c r="I401" s="69"/>
      <c r="J401" s="69"/>
      <c r="K401" t="str">
        <f t="shared" si="40"/>
        <v>Not a Lease</v>
      </c>
      <c r="L401" s="69"/>
      <c r="M401" s="69"/>
      <c r="N401" s="69"/>
      <c r="O401" s="69"/>
      <c r="P401" s="69"/>
      <c r="Q401" s="69"/>
      <c r="R401" s="69"/>
      <c r="S401" s="69"/>
      <c r="T401" s="69"/>
      <c r="U401" s="69"/>
      <c r="V401" s="69"/>
      <c r="W401" s="69"/>
      <c r="X401" s="69"/>
      <c r="Y401" s="69"/>
      <c r="Z401">
        <f t="shared" si="38"/>
        <v>0</v>
      </c>
      <c r="AA401">
        <f t="shared" si="41"/>
        <v>0</v>
      </c>
      <c r="AB401">
        <f t="shared" si="42"/>
        <v>0</v>
      </c>
      <c r="AC401">
        <f>+IF(Table3[[#This Row],[Do Both Parties have to agree for extension to occur?]]="Yes",0,IF(AND(W401="Yes",Q401="Yes"),IF(R401=X401,R401,MAX(R401,X401)),IF(AND(W401="Yes",OR(Q401="No",Q401="")),X401,IF(AND(OR(W401="No",W401=""),Q401="Yes"),R401,0))))</f>
        <v>0</v>
      </c>
      <c r="AD401" s="69"/>
      <c r="AE401" s="69"/>
      <c r="AF401" t="str">
        <f>IF(AD401="Monthly",Table3[[#This Row],[Assessed Term]]*12,IF(AD401="quarterly",Table3[[#This Row],[Assessed Term]]*4,IF(AD401="annually",Table3[[#This Row],[Assessed Term]]*1,IF(AD401="weekly",Table3[[#This Row],[Assessed Term]]*52,IF(AD401="semiannually",Table3[[#This Row],[Assessed Term]]*2," ")))))</f>
        <v xml:space="preserve"> </v>
      </c>
      <c r="AG401" s="69"/>
      <c r="AH401" s="69"/>
      <c r="AI401" s="73"/>
      <c r="AJ401" s="73"/>
      <c r="AK401" s="73"/>
      <c r="AL401" s="69"/>
      <c r="AM401" s="69"/>
      <c r="AN401" s="120"/>
      <c r="AO401" s="76" t="b">
        <f>IF(K401 = "Lease",+PV(AN401/(AF401/Table3[[#This Row],[Assessed Term]]),AF401,-AI401,0,IF(AE401="Beginning",1,0)))</f>
        <v>0</v>
      </c>
      <c r="AP401" s="69"/>
      <c r="AQ401" s="76">
        <f t="shared" si="39"/>
        <v>0</v>
      </c>
      <c r="AR401" s="72"/>
    </row>
    <row r="402" spans="1:44">
      <c r="A402" s="69"/>
      <c r="B402" s="70"/>
      <c r="C402" s="69"/>
      <c r="D402" s="69"/>
      <c r="E402" s="69"/>
      <c r="F402" s="69"/>
      <c r="G402" s="69"/>
      <c r="H402" s="69"/>
      <c r="I402" s="69"/>
      <c r="J402" s="69"/>
      <c r="K402" t="str">
        <f t="shared" si="40"/>
        <v>Not a Lease</v>
      </c>
      <c r="L402" s="69"/>
      <c r="M402" s="69"/>
      <c r="N402" s="69"/>
      <c r="O402" s="69"/>
      <c r="P402" s="69"/>
      <c r="Q402" s="69"/>
      <c r="R402" s="69"/>
      <c r="S402" s="69"/>
      <c r="T402" s="69"/>
      <c r="U402" s="69"/>
      <c r="V402" s="69"/>
      <c r="W402" s="69"/>
      <c r="X402" s="69"/>
      <c r="Y402" s="69"/>
      <c r="Z402">
        <f t="shared" si="38"/>
        <v>0</v>
      </c>
      <c r="AA402">
        <f t="shared" si="41"/>
        <v>0</v>
      </c>
      <c r="AB402">
        <f t="shared" si="42"/>
        <v>0</v>
      </c>
      <c r="AC402">
        <f>+IF(Table3[[#This Row],[Do Both Parties have to agree for extension to occur?]]="Yes",0,IF(AND(W402="Yes",Q402="Yes"),IF(R402=X402,R402,MAX(R402,X402)),IF(AND(W402="Yes",OR(Q402="No",Q402="")),X402,IF(AND(OR(W402="No",W402=""),Q402="Yes"),R402,0))))</f>
        <v>0</v>
      </c>
      <c r="AD402" s="69"/>
      <c r="AE402" s="69"/>
      <c r="AF402" t="str">
        <f>IF(AD402="Monthly",Table3[[#This Row],[Assessed Term]]*12,IF(AD402="quarterly",Table3[[#This Row],[Assessed Term]]*4,IF(AD402="annually",Table3[[#This Row],[Assessed Term]]*1,IF(AD402="weekly",Table3[[#This Row],[Assessed Term]]*52,IF(AD402="semiannually",Table3[[#This Row],[Assessed Term]]*2," ")))))</f>
        <v xml:space="preserve"> </v>
      </c>
      <c r="AG402" s="69"/>
      <c r="AH402" s="69"/>
      <c r="AI402" s="73"/>
      <c r="AJ402" s="73"/>
      <c r="AK402" s="73"/>
      <c r="AL402" s="69"/>
      <c r="AM402" s="69"/>
      <c r="AN402" s="120"/>
      <c r="AO402" s="76" t="b">
        <f>IF(K402 = "Lease",+PV(AN402/(AF402/Table3[[#This Row],[Assessed Term]]),AF402,-AI402,0,IF(AE402="Beginning",1,0)))</f>
        <v>0</v>
      </c>
      <c r="AP402" s="69"/>
      <c r="AQ402" s="76">
        <f t="shared" si="39"/>
        <v>0</v>
      </c>
      <c r="AR402" s="72"/>
    </row>
    <row r="403" spans="1:44">
      <c r="A403" s="69"/>
      <c r="B403" s="70"/>
      <c r="C403" s="69"/>
      <c r="D403" s="69"/>
      <c r="E403" s="69"/>
      <c r="F403" s="69"/>
      <c r="G403" s="69"/>
      <c r="H403" s="69"/>
      <c r="I403" s="69"/>
      <c r="J403" s="69"/>
      <c r="K403" t="str">
        <f t="shared" si="40"/>
        <v>Not a Lease</v>
      </c>
      <c r="L403" s="69"/>
      <c r="M403" s="69"/>
      <c r="N403" s="69"/>
      <c r="O403" s="69"/>
      <c r="P403" s="69"/>
      <c r="Q403" s="69"/>
      <c r="R403" s="69"/>
      <c r="S403" s="69"/>
      <c r="T403" s="69"/>
      <c r="U403" s="69"/>
      <c r="V403" s="69"/>
      <c r="W403" s="69"/>
      <c r="X403" s="69"/>
      <c r="Y403" s="69"/>
      <c r="Z403">
        <f t="shared" si="38"/>
        <v>0</v>
      </c>
      <c r="AA403">
        <f t="shared" si="41"/>
        <v>0</v>
      </c>
      <c r="AB403">
        <f t="shared" si="42"/>
        <v>0</v>
      </c>
      <c r="AC403">
        <f>+IF(Table3[[#This Row],[Do Both Parties have to agree for extension to occur?]]="Yes",0,IF(AND(W403="Yes",Q403="Yes"),IF(R403=X403,R403,MAX(R403,X403)),IF(AND(W403="Yes",OR(Q403="No",Q403="")),X403,IF(AND(OR(W403="No",W403=""),Q403="Yes"),R403,0))))</f>
        <v>0</v>
      </c>
      <c r="AD403" s="69"/>
      <c r="AE403" s="69"/>
      <c r="AF403" t="str">
        <f>IF(AD403="Monthly",Table3[[#This Row],[Assessed Term]]*12,IF(AD403="quarterly",Table3[[#This Row],[Assessed Term]]*4,IF(AD403="annually",Table3[[#This Row],[Assessed Term]]*1,IF(AD403="weekly",Table3[[#This Row],[Assessed Term]]*52,IF(AD403="semiannually",Table3[[#This Row],[Assessed Term]]*2," ")))))</f>
        <v xml:space="preserve"> </v>
      </c>
      <c r="AG403" s="69"/>
      <c r="AH403" s="69"/>
      <c r="AI403" s="73"/>
      <c r="AJ403" s="73"/>
      <c r="AK403" s="73"/>
      <c r="AL403" s="69"/>
      <c r="AM403" s="69"/>
      <c r="AN403" s="120"/>
      <c r="AO403" s="76" t="b">
        <f>IF(K403 = "Lease",+PV(AN403/(AF403/Table3[[#This Row],[Assessed Term]]),AF403,-AI403,0,IF(AE403="Beginning",1,0)))</f>
        <v>0</v>
      </c>
      <c r="AP403" s="69"/>
      <c r="AQ403" s="76">
        <f t="shared" si="39"/>
        <v>0</v>
      </c>
      <c r="AR403" s="72"/>
    </row>
    <row r="404" spans="1:44">
      <c r="A404" s="69"/>
      <c r="B404" s="70"/>
      <c r="C404" s="69"/>
      <c r="D404" s="69"/>
      <c r="E404" s="69"/>
      <c r="F404" s="69"/>
      <c r="G404" s="69"/>
      <c r="H404" s="69"/>
      <c r="I404" s="69"/>
      <c r="J404" s="69"/>
      <c r="K404" t="str">
        <f t="shared" si="40"/>
        <v>Not a Lease</v>
      </c>
      <c r="L404" s="69"/>
      <c r="M404" s="69"/>
      <c r="N404" s="69"/>
      <c r="O404" s="69"/>
      <c r="P404" s="69"/>
      <c r="Q404" s="69"/>
      <c r="R404" s="69"/>
      <c r="S404" s="69"/>
      <c r="T404" s="69"/>
      <c r="U404" s="69"/>
      <c r="V404" s="69"/>
      <c r="W404" s="69"/>
      <c r="X404" s="69"/>
      <c r="Y404" s="69"/>
      <c r="Z404">
        <f t="shared" si="38"/>
        <v>0</v>
      </c>
      <c r="AA404">
        <f t="shared" si="41"/>
        <v>0</v>
      </c>
      <c r="AB404">
        <f t="shared" si="42"/>
        <v>0</v>
      </c>
      <c r="AC404">
        <f>+IF(Table3[[#This Row],[Do Both Parties have to agree for extension to occur?]]="Yes",0,IF(AND(W404="Yes",Q404="Yes"),IF(R404=X404,R404,MAX(R404,X404)),IF(AND(W404="Yes",OR(Q404="No",Q404="")),X404,IF(AND(OR(W404="No",W404=""),Q404="Yes"),R404,0))))</f>
        <v>0</v>
      </c>
      <c r="AD404" s="69"/>
      <c r="AE404" s="69"/>
      <c r="AF404" t="str">
        <f>IF(AD404="Monthly",Table3[[#This Row],[Assessed Term]]*12,IF(AD404="quarterly",Table3[[#This Row],[Assessed Term]]*4,IF(AD404="annually",Table3[[#This Row],[Assessed Term]]*1,IF(AD404="weekly",Table3[[#This Row],[Assessed Term]]*52,IF(AD404="semiannually",Table3[[#This Row],[Assessed Term]]*2," ")))))</f>
        <v xml:space="preserve"> </v>
      </c>
      <c r="AG404" s="69"/>
      <c r="AH404" s="69"/>
      <c r="AI404" s="73"/>
      <c r="AJ404" s="73"/>
      <c r="AK404" s="73"/>
      <c r="AL404" s="69"/>
      <c r="AM404" s="69"/>
      <c r="AN404" s="120"/>
      <c r="AO404" s="76" t="b">
        <f>IF(K404 = "Lease",+PV(AN404/(AF404/Table3[[#This Row],[Assessed Term]]),AF404,-AI404,0,IF(AE404="Beginning",1,0)))</f>
        <v>0</v>
      </c>
      <c r="AP404" s="69"/>
      <c r="AQ404" s="76">
        <f t="shared" si="39"/>
        <v>0</v>
      </c>
      <c r="AR404" s="72"/>
    </row>
    <row r="405" spans="1:44">
      <c r="A405" s="69"/>
      <c r="B405" s="70"/>
      <c r="C405" s="69"/>
      <c r="D405" s="69"/>
      <c r="E405" s="69"/>
      <c r="F405" s="69"/>
      <c r="G405" s="69"/>
      <c r="H405" s="69"/>
      <c r="I405" s="69"/>
      <c r="J405" s="69"/>
      <c r="K405" t="str">
        <f t="shared" si="40"/>
        <v>Not a Lease</v>
      </c>
      <c r="L405" s="69"/>
      <c r="M405" s="69"/>
      <c r="N405" s="69"/>
      <c r="O405" s="69"/>
      <c r="P405" s="69"/>
      <c r="Q405" s="69"/>
      <c r="R405" s="69"/>
      <c r="S405" s="69"/>
      <c r="T405" s="69"/>
      <c r="U405" s="69"/>
      <c r="V405" s="69"/>
      <c r="W405" s="69"/>
      <c r="X405" s="69"/>
      <c r="Y405" s="69"/>
      <c r="Z405">
        <f t="shared" si="38"/>
        <v>0</v>
      </c>
      <c r="AA405">
        <f t="shared" si="41"/>
        <v>0</v>
      </c>
      <c r="AB405">
        <f t="shared" si="42"/>
        <v>0</v>
      </c>
      <c r="AC405">
        <f>+IF(Table3[[#This Row],[Do Both Parties have to agree for extension to occur?]]="Yes",0,IF(AND(W405="Yes",Q405="Yes"),IF(R405=X405,R405,MAX(R405,X405)),IF(AND(W405="Yes",OR(Q405="No",Q405="")),X405,IF(AND(OR(W405="No",W405=""),Q405="Yes"),R405,0))))</f>
        <v>0</v>
      </c>
      <c r="AD405" s="69"/>
      <c r="AE405" s="69"/>
      <c r="AF405" t="str">
        <f>IF(AD405="Monthly",Table3[[#This Row],[Assessed Term]]*12,IF(AD405="quarterly",Table3[[#This Row],[Assessed Term]]*4,IF(AD405="annually",Table3[[#This Row],[Assessed Term]]*1,IF(AD405="weekly",Table3[[#This Row],[Assessed Term]]*52,IF(AD405="semiannually",Table3[[#This Row],[Assessed Term]]*2," ")))))</f>
        <v xml:space="preserve"> </v>
      </c>
      <c r="AG405" s="69"/>
      <c r="AH405" s="69"/>
      <c r="AI405" s="73"/>
      <c r="AJ405" s="73"/>
      <c r="AK405" s="73"/>
      <c r="AL405" s="69"/>
      <c r="AM405" s="69"/>
      <c r="AN405" s="120"/>
      <c r="AO405" s="76" t="b">
        <f>IF(K405 = "Lease",+PV(AN405/(AF405/Table3[[#This Row],[Assessed Term]]),AF405,-AI405,0,IF(AE405="Beginning",1,0)))</f>
        <v>0</v>
      </c>
      <c r="AP405" s="69"/>
      <c r="AQ405" s="76">
        <f t="shared" si="39"/>
        <v>0</v>
      </c>
      <c r="AR405" s="72"/>
    </row>
    <row r="406" spans="1:44">
      <c r="A406" s="69"/>
      <c r="B406" s="70"/>
      <c r="C406" s="69"/>
      <c r="D406" s="69"/>
      <c r="E406" s="69"/>
      <c r="F406" s="69"/>
      <c r="G406" s="69"/>
      <c r="H406" s="69"/>
      <c r="I406" s="69"/>
      <c r="J406" s="69"/>
      <c r="K406" t="str">
        <f t="shared" si="40"/>
        <v>Not a Lease</v>
      </c>
      <c r="L406" s="69"/>
      <c r="M406" s="69"/>
      <c r="N406" s="69"/>
      <c r="O406" s="69"/>
      <c r="P406" s="69"/>
      <c r="Q406" s="69"/>
      <c r="R406" s="69"/>
      <c r="S406" s="69"/>
      <c r="T406" s="69"/>
      <c r="U406" s="69"/>
      <c r="V406" s="69"/>
      <c r="W406" s="69"/>
      <c r="X406" s="69"/>
      <c r="Y406" s="69"/>
      <c r="Z406">
        <f t="shared" si="38"/>
        <v>0</v>
      </c>
      <c r="AA406">
        <f t="shared" si="41"/>
        <v>0</v>
      </c>
      <c r="AB406">
        <f t="shared" si="42"/>
        <v>0</v>
      </c>
      <c r="AC406">
        <f>+IF(Table3[[#This Row],[Do Both Parties have to agree for extension to occur?]]="Yes",0,IF(AND(W406="Yes",Q406="Yes"),IF(R406=X406,R406,MAX(R406,X406)),IF(AND(W406="Yes",OR(Q406="No",Q406="")),X406,IF(AND(OR(W406="No",W406=""),Q406="Yes"),R406,0))))</f>
        <v>0</v>
      </c>
      <c r="AD406" s="69"/>
      <c r="AE406" s="69"/>
      <c r="AF406" t="str">
        <f>IF(AD406="Monthly",Table3[[#This Row],[Assessed Term]]*12,IF(AD406="quarterly",Table3[[#This Row],[Assessed Term]]*4,IF(AD406="annually",Table3[[#This Row],[Assessed Term]]*1,IF(AD406="weekly",Table3[[#This Row],[Assessed Term]]*52,IF(AD406="semiannually",Table3[[#This Row],[Assessed Term]]*2," ")))))</f>
        <v xml:space="preserve"> </v>
      </c>
      <c r="AG406" s="69"/>
      <c r="AH406" s="69"/>
      <c r="AI406" s="73"/>
      <c r="AJ406" s="73"/>
      <c r="AK406" s="73"/>
      <c r="AL406" s="69"/>
      <c r="AM406" s="69"/>
      <c r="AN406" s="120"/>
      <c r="AO406" s="76" t="b">
        <f>IF(K406 = "Lease",+PV(AN406/(AF406/Table3[[#This Row],[Assessed Term]]),AF406,-AI406,0,IF(AE406="Beginning",1,0)))</f>
        <v>0</v>
      </c>
      <c r="AP406" s="69"/>
      <c r="AQ406" s="76">
        <f t="shared" si="39"/>
        <v>0</v>
      </c>
      <c r="AR406" s="72"/>
    </row>
    <row r="407" spans="1:44">
      <c r="A407" s="69"/>
      <c r="B407" s="70"/>
      <c r="C407" s="69"/>
      <c r="D407" s="69"/>
      <c r="E407" s="69"/>
      <c r="F407" s="69"/>
      <c r="G407" s="69"/>
      <c r="H407" s="69"/>
      <c r="I407" s="69"/>
      <c r="J407" s="69"/>
      <c r="K407" t="str">
        <f t="shared" si="40"/>
        <v>Not a Lease</v>
      </c>
      <c r="L407" s="69"/>
      <c r="M407" s="69"/>
      <c r="N407" s="69"/>
      <c r="O407" s="69"/>
      <c r="P407" s="69"/>
      <c r="Q407" s="69"/>
      <c r="R407" s="69"/>
      <c r="S407" s="69"/>
      <c r="T407" s="69"/>
      <c r="U407" s="69"/>
      <c r="V407" s="69"/>
      <c r="W407" s="69"/>
      <c r="X407" s="69"/>
      <c r="Y407" s="69"/>
      <c r="Z407">
        <f t="shared" si="38"/>
        <v>0</v>
      </c>
      <c r="AA407">
        <f t="shared" si="41"/>
        <v>0</v>
      </c>
      <c r="AB407">
        <f t="shared" si="42"/>
        <v>0</v>
      </c>
      <c r="AC407">
        <f>+IF(Table3[[#This Row],[Do Both Parties have to agree for extension to occur?]]="Yes",0,IF(AND(W407="Yes",Q407="Yes"),IF(R407=X407,R407,MAX(R407,X407)),IF(AND(W407="Yes",OR(Q407="No",Q407="")),X407,IF(AND(OR(W407="No",W407=""),Q407="Yes"),R407,0))))</f>
        <v>0</v>
      </c>
      <c r="AD407" s="69"/>
      <c r="AE407" s="69"/>
      <c r="AF407" t="str">
        <f>IF(AD407="Monthly",Table3[[#This Row],[Assessed Term]]*12,IF(AD407="quarterly",Table3[[#This Row],[Assessed Term]]*4,IF(AD407="annually",Table3[[#This Row],[Assessed Term]]*1,IF(AD407="weekly",Table3[[#This Row],[Assessed Term]]*52,IF(AD407="semiannually",Table3[[#This Row],[Assessed Term]]*2," ")))))</f>
        <v xml:space="preserve"> </v>
      </c>
      <c r="AG407" s="69"/>
      <c r="AH407" s="69"/>
      <c r="AI407" s="73"/>
      <c r="AJ407" s="73"/>
      <c r="AK407" s="73"/>
      <c r="AL407" s="69"/>
      <c r="AM407" s="69"/>
      <c r="AN407" s="120"/>
      <c r="AO407" s="76" t="b">
        <f>IF(K407 = "Lease",+PV(AN407/(AF407/Table3[[#This Row],[Assessed Term]]),AF407,-AI407,0,IF(AE407="Beginning",1,0)))</f>
        <v>0</v>
      </c>
      <c r="AP407" s="69"/>
      <c r="AQ407" s="76">
        <f t="shared" si="39"/>
        <v>0</v>
      </c>
      <c r="AR407" s="72"/>
    </row>
    <row r="408" spans="1:44">
      <c r="A408" s="69"/>
      <c r="B408" s="70"/>
      <c r="C408" s="69"/>
      <c r="D408" s="69"/>
      <c r="E408" s="69"/>
      <c r="F408" s="69"/>
      <c r="G408" s="69"/>
      <c r="H408" s="69"/>
      <c r="I408" s="69"/>
      <c r="J408" s="69"/>
      <c r="K408" t="str">
        <f t="shared" si="40"/>
        <v>Not a Lease</v>
      </c>
      <c r="L408" s="69"/>
      <c r="M408" s="69"/>
      <c r="N408" s="69"/>
      <c r="O408" s="69"/>
      <c r="P408" s="69"/>
      <c r="Q408" s="69"/>
      <c r="R408" s="69"/>
      <c r="S408" s="69"/>
      <c r="T408" s="69"/>
      <c r="U408" s="69"/>
      <c r="V408" s="69"/>
      <c r="W408" s="69"/>
      <c r="X408" s="69"/>
      <c r="Y408" s="69"/>
      <c r="Z408">
        <f t="shared" si="38"/>
        <v>0</v>
      </c>
      <c r="AA408">
        <f t="shared" si="41"/>
        <v>0</v>
      </c>
      <c r="AB408">
        <f t="shared" si="42"/>
        <v>0</v>
      </c>
      <c r="AC408">
        <f>+IF(Table3[[#This Row],[Do Both Parties have to agree for extension to occur?]]="Yes",0,IF(AND(W408="Yes",Q408="Yes"),IF(R408=X408,R408,MAX(R408,X408)),IF(AND(W408="Yes",OR(Q408="No",Q408="")),X408,IF(AND(OR(W408="No",W408=""),Q408="Yes"),R408,0))))</f>
        <v>0</v>
      </c>
      <c r="AD408" s="69"/>
      <c r="AE408" s="69"/>
      <c r="AF408" t="str">
        <f>IF(AD408="Monthly",Table3[[#This Row],[Assessed Term]]*12,IF(AD408="quarterly",Table3[[#This Row],[Assessed Term]]*4,IF(AD408="annually",Table3[[#This Row],[Assessed Term]]*1,IF(AD408="weekly",Table3[[#This Row],[Assessed Term]]*52,IF(AD408="semiannually",Table3[[#This Row],[Assessed Term]]*2," ")))))</f>
        <v xml:space="preserve"> </v>
      </c>
      <c r="AG408" s="69"/>
      <c r="AH408" s="69"/>
      <c r="AI408" s="73"/>
      <c r="AJ408" s="73"/>
      <c r="AK408" s="73"/>
      <c r="AL408" s="69"/>
      <c r="AM408" s="69"/>
      <c r="AN408" s="120"/>
      <c r="AO408" s="76" t="b">
        <f>IF(K408 = "Lease",+PV(AN408/(AF408/Table3[[#This Row],[Assessed Term]]),AF408,-AI408,0,IF(AE408="Beginning",1,0)))</f>
        <v>0</v>
      </c>
      <c r="AP408" s="69"/>
      <c r="AQ408" s="76">
        <f t="shared" si="39"/>
        <v>0</v>
      </c>
      <c r="AR408" s="72"/>
    </row>
    <row r="409" spans="1:44">
      <c r="A409" s="69"/>
      <c r="B409" s="70"/>
      <c r="C409" s="69"/>
      <c r="D409" s="69"/>
      <c r="E409" s="69"/>
      <c r="F409" s="69"/>
      <c r="G409" s="69"/>
      <c r="H409" s="69"/>
      <c r="I409" s="69"/>
      <c r="J409" s="69"/>
      <c r="K409" t="str">
        <f t="shared" si="40"/>
        <v>Not a Lease</v>
      </c>
      <c r="L409" s="69"/>
      <c r="M409" s="69"/>
      <c r="N409" s="69"/>
      <c r="O409" s="69"/>
      <c r="P409" s="69"/>
      <c r="Q409" s="69"/>
      <c r="R409" s="69"/>
      <c r="S409" s="69"/>
      <c r="T409" s="69"/>
      <c r="U409" s="69"/>
      <c r="V409" s="69"/>
      <c r="W409" s="69"/>
      <c r="X409" s="69"/>
      <c r="Y409" s="69"/>
      <c r="Z409">
        <f t="shared" si="38"/>
        <v>0</v>
      </c>
      <c r="AA409">
        <f t="shared" si="41"/>
        <v>0</v>
      </c>
      <c r="AB409">
        <f t="shared" si="42"/>
        <v>0</v>
      </c>
      <c r="AC409">
        <f>+IF(Table3[[#This Row],[Do Both Parties have to agree for extension to occur?]]="Yes",0,IF(AND(W409="Yes",Q409="Yes"),IF(R409=X409,R409,MAX(R409,X409)),IF(AND(W409="Yes",OR(Q409="No",Q409="")),X409,IF(AND(OR(W409="No",W409=""),Q409="Yes"),R409,0))))</f>
        <v>0</v>
      </c>
      <c r="AD409" s="69"/>
      <c r="AE409" s="69"/>
      <c r="AF409" t="str">
        <f>IF(AD409="Monthly",Table3[[#This Row],[Assessed Term]]*12,IF(AD409="quarterly",Table3[[#This Row],[Assessed Term]]*4,IF(AD409="annually",Table3[[#This Row],[Assessed Term]]*1,IF(AD409="weekly",Table3[[#This Row],[Assessed Term]]*52,IF(AD409="semiannually",Table3[[#This Row],[Assessed Term]]*2," ")))))</f>
        <v xml:space="preserve"> </v>
      </c>
      <c r="AG409" s="69"/>
      <c r="AH409" s="69"/>
      <c r="AI409" s="73"/>
      <c r="AJ409" s="73"/>
      <c r="AK409" s="73"/>
      <c r="AL409" s="69"/>
      <c r="AM409" s="69"/>
      <c r="AN409" s="120"/>
      <c r="AO409" s="76" t="b">
        <f>IF(K409 = "Lease",+PV(AN409/(AF409/Table3[[#This Row],[Assessed Term]]),AF409,-AI409,0,IF(AE409="Beginning",1,0)))</f>
        <v>0</v>
      </c>
      <c r="AP409" s="69"/>
      <c r="AQ409" s="76">
        <f t="shared" si="39"/>
        <v>0</v>
      </c>
      <c r="AR409" s="72"/>
    </row>
    <row r="410" spans="1:44">
      <c r="A410" s="69"/>
      <c r="B410" s="70"/>
      <c r="C410" s="69"/>
      <c r="D410" s="69"/>
      <c r="E410" s="69"/>
      <c r="F410" s="69"/>
      <c r="G410" s="69"/>
      <c r="H410" s="69"/>
      <c r="I410" s="69"/>
      <c r="J410" s="69"/>
      <c r="K410" t="str">
        <f t="shared" si="40"/>
        <v>Not a Lease</v>
      </c>
      <c r="L410" s="69"/>
      <c r="M410" s="69"/>
      <c r="N410" s="69"/>
      <c r="O410" s="69"/>
      <c r="P410" s="69"/>
      <c r="Q410" s="69"/>
      <c r="R410" s="69"/>
      <c r="S410" s="69"/>
      <c r="T410" s="69"/>
      <c r="U410" s="69"/>
      <c r="V410" s="69"/>
      <c r="W410" s="69"/>
      <c r="X410" s="69"/>
      <c r="Y410" s="69"/>
      <c r="Z410">
        <f t="shared" si="38"/>
        <v>0</v>
      </c>
      <c r="AA410">
        <f t="shared" si="41"/>
        <v>0</v>
      </c>
      <c r="AB410">
        <f t="shared" si="42"/>
        <v>0</v>
      </c>
      <c r="AC410">
        <f>+IF(Table3[[#This Row],[Do Both Parties have to agree for extension to occur?]]="Yes",0,IF(AND(W410="Yes",Q410="Yes"),IF(R410=X410,R410,MAX(R410,X410)),IF(AND(W410="Yes",OR(Q410="No",Q410="")),X410,IF(AND(OR(W410="No",W410=""),Q410="Yes"),R410,0))))</f>
        <v>0</v>
      </c>
      <c r="AD410" s="69"/>
      <c r="AE410" s="69"/>
      <c r="AF410" t="str">
        <f>IF(AD410="Monthly",Table3[[#This Row],[Assessed Term]]*12,IF(AD410="quarterly",Table3[[#This Row],[Assessed Term]]*4,IF(AD410="annually",Table3[[#This Row],[Assessed Term]]*1,IF(AD410="weekly",Table3[[#This Row],[Assessed Term]]*52,IF(AD410="semiannually",Table3[[#This Row],[Assessed Term]]*2," ")))))</f>
        <v xml:space="preserve"> </v>
      </c>
      <c r="AG410" s="69"/>
      <c r="AH410" s="69"/>
      <c r="AI410" s="73"/>
      <c r="AJ410" s="73"/>
      <c r="AK410" s="73"/>
      <c r="AL410" s="69"/>
      <c r="AM410" s="69"/>
      <c r="AN410" s="120"/>
      <c r="AO410" s="76" t="b">
        <f>IF(K410 = "Lease",+PV(AN410/(AF410/Table3[[#This Row],[Assessed Term]]),AF410,-AI410,0,IF(AE410="Beginning",1,0)))</f>
        <v>0</v>
      </c>
      <c r="AP410" s="69"/>
      <c r="AQ410" s="76">
        <f t="shared" si="39"/>
        <v>0</v>
      </c>
      <c r="AR410" s="72"/>
    </row>
    <row r="411" spans="1:44">
      <c r="A411" s="69"/>
      <c r="B411" s="70"/>
      <c r="C411" s="69"/>
      <c r="D411" s="69"/>
      <c r="E411" s="69"/>
      <c r="F411" s="69"/>
      <c r="G411" s="69"/>
      <c r="H411" s="69"/>
      <c r="I411" s="69"/>
      <c r="J411" s="69"/>
      <c r="K411" t="str">
        <f t="shared" si="40"/>
        <v>Not a Lease</v>
      </c>
      <c r="L411" s="69"/>
      <c r="M411" s="69"/>
      <c r="N411" s="69"/>
      <c r="O411" s="69"/>
      <c r="P411" s="69"/>
      <c r="Q411" s="69"/>
      <c r="R411" s="69"/>
      <c r="S411" s="69"/>
      <c r="T411" s="69"/>
      <c r="U411" s="69"/>
      <c r="V411" s="69"/>
      <c r="W411" s="69"/>
      <c r="X411" s="69"/>
      <c r="Y411" s="69"/>
      <c r="Z411">
        <f t="shared" si="38"/>
        <v>0</v>
      </c>
      <c r="AA411">
        <f t="shared" si="41"/>
        <v>0</v>
      </c>
      <c r="AB411">
        <f t="shared" si="42"/>
        <v>0</v>
      </c>
      <c r="AC411">
        <f>+IF(Table3[[#This Row],[Do Both Parties have to agree for extension to occur?]]="Yes",0,IF(AND(W411="Yes",Q411="Yes"),IF(R411=X411,R411,MAX(R411,X411)),IF(AND(W411="Yes",OR(Q411="No",Q411="")),X411,IF(AND(OR(W411="No",W411=""),Q411="Yes"),R411,0))))</f>
        <v>0</v>
      </c>
      <c r="AD411" s="69"/>
      <c r="AE411" s="69"/>
      <c r="AF411" t="str">
        <f>IF(AD411="Monthly",Table3[[#This Row],[Assessed Term]]*12,IF(AD411="quarterly",Table3[[#This Row],[Assessed Term]]*4,IF(AD411="annually",Table3[[#This Row],[Assessed Term]]*1,IF(AD411="weekly",Table3[[#This Row],[Assessed Term]]*52,IF(AD411="semiannually",Table3[[#This Row],[Assessed Term]]*2," ")))))</f>
        <v xml:space="preserve"> </v>
      </c>
      <c r="AG411" s="69"/>
      <c r="AH411" s="69"/>
      <c r="AI411" s="73"/>
      <c r="AJ411" s="73"/>
      <c r="AK411" s="73"/>
      <c r="AL411" s="69"/>
      <c r="AM411" s="69"/>
      <c r="AN411" s="120"/>
      <c r="AO411" s="76" t="b">
        <f>IF(K411 = "Lease",+PV(AN411/(AF411/Table3[[#This Row],[Assessed Term]]),AF411,-AI411,0,IF(AE411="Beginning",1,0)))</f>
        <v>0</v>
      </c>
      <c r="AP411" s="69"/>
      <c r="AQ411" s="76">
        <f t="shared" si="39"/>
        <v>0</v>
      </c>
      <c r="AR411" s="72"/>
    </row>
    <row r="412" spans="1:44">
      <c r="A412" s="69"/>
      <c r="B412" s="70"/>
      <c r="C412" s="69"/>
      <c r="D412" s="69"/>
      <c r="E412" s="69"/>
      <c r="F412" s="69"/>
      <c r="G412" s="69"/>
      <c r="H412" s="69"/>
      <c r="I412" s="69"/>
      <c r="J412" s="69"/>
      <c r="K412" t="str">
        <f t="shared" si="40"/>
        <v>Not a Lease</v>
      </c>
      <c r="L412" s="69"/>
      <c r="M412" s="69"/>
      <c r="N412" s="69"/>
      <c r="O412" s="69"/>
      <c r="P412" s="69"/>
      <c r="Q412" s="69"/>
      <c r="R412" s="69"/>
      <c r="S412" s="69"/>
      <c r="T412" s="69"/>
      <c r="U412" s="69"/>
      <c r="V412" s="69"/>
      <c r="W412" s="69"/>
      <c r="X412" s="69"/>
      <c r="Y412" s="69"/>
      <c r="Z412">
        <f t="shared" si="38"/>
        <v>0</v>
      </c>
      <c r="AA412">
        <f t="shared" si="41"/>
        <v>0</v>
      </c>
      <c r="AB412">
        <f t="shared" si="42"/>
        <v>0</v>
      </c>
      <c r="AC412">
        <f>+IF(Table3[[#This Row],[Do Both Parties have to agree for extension to occur?]]="Yes",0,IF(AND(W412="Yes",Q412="Yes"),IF(R412=X412,R412,MAX(R412,X412)),IF(AND(W412="Yes",OR(Q412="No",Q412="")),X412,IF(AND(OR(W412="No",W412=""),Q412="Yes"),R412,0))))</f>
        <v>0</v>
      </c>
      <c r="AD412" s="69"/>
      <c r="AE412" s="69"/>
      <c r="AF412" t="str">
        <f>IF(AD412="Monthly",Table3[[#This Row],[Assessed Term]]*12,IF(AD412="quarterly",Table3[[#This Row],[Assessed Term]]*4,IF(AD412="annually",Table3[[#This Row],[Assessed Term]]*1,IF(AD412="weekly",Table3[[#This Row],[Assessed Term]]*52,IF(AD412="semiannually",Table3[[#This Row],[Assessed Term]]*2," ")))))</f>
        <v xml:space="preserve"> </v>
      </c>
      <c r="AG412" s="69"/>
      <c r="AH412" s="69"/>
      <c r="AI412" s="73"/>
      <c r="AJ412" s="73"/>
      <c r="AK412" s="73"/>
      <c r="AL412" s="69"/>
      <c r="AM412" s="69"/>
      <c r="AN412" s="120"/>
      <c r="AO412" s="76" t="b">
        <f>IF(K412 = "Lease",+PV(AN412/(AF412/Table3[[#This Row],[Assessed Term]]),AF412,-AI412,0,IF(AE412="Beginning",1,0)))</f>
        <v>0</v>
      </c>
      <c r="AP412" s="69"/>
      <c r="AQ412" s="76">
        <f t="shared" si="39"/>
        <v>0</v>
      </c>
      <c r="AR412" s="72"/>
    </row>
    <row r="413" spans="1:44">
      <c r="A413" s="69"/>
      <c r="B413" s="70"/>
      <c r="C413" s="69"/>
      <c r="D413" s="69"/>
      <c r="E413" s="69"/>
      <c r="F413" s="69"/>
      <c r="G413" s="69"/>
      <c r="H413" s="69"/>
      <c r="I413" s="69"/>
      <c r="J413" s="69"/>
      <c r="K413" t="str">
        <f t="shared" si="40"/>
        <v>Not a Lease</v>
      </c>
      <c r="L413" s="69"/>
      <c r="M413" s="69"/>
      <c r="N413" s="69"/>
      <c r="O413" s="69"/>
      <c r="P413" s="69"/>
      <c r="Q413" s="69"/>
      <c r="R413" s="69"/>
      <c r="S413" s="69"/>
      <c r="T413" s="69"/>
      <c r="U413" s="69"/>
      <c r="V413" s="69"/>
      <c r="W413" s="69"/>
      <c r="X413" s="69"/>
      <c r="Y413" s="69"/>
      <c r="Z413">
        <f t="shared" si="38"/>
        <v>0</v>
      </c>
      <c r="AA413">
        <f t="shared" si="41"/>
        <v>0</v>
      </c>
      <c r="AB413">
        <f t="shared" si="42"/>
        <v>0</v>
      </c>
      <c r="AC413">
        <f>+IF(Table3[[#This Row],[Do Both Parties have to agree for extension to occur?]]="Yes",0,IF(AND(W413="Yes",Q413="Yes"),IF(R413=X413,R413,MAX(R413,X413)),IF(AND(W413="Yes",OR(Q413="No",Q413="")),X413,IF(AND(OR(W413="No",W413=""),Q413="Yes"),R413,0))))</f>
        <v>0</v>
      </c>
      <c r="AD413" s="69"/>
      <c r="AE413" s="69"/>
      <c r="AF413" t="str">
        <f>IF(AD413="Monthly",Table3[[#This Row],[Assessed Term]]*12,IF(AD413="quarterly",Table3[[#This Row],[Assessed Term]]*4,IF(AD413="annually",Table3[[#This Row],[Assessed Term]]*1,IF(AD413="weekly",Table3[[#This Row],[Assessed Term]]*52,IF(AD413="semiannually",Table3[[#This Row],[Assessed Term]]*2," ")))))</f>
        <v xml:space="preserve"> </v>
      </c>
      <c r="AG413" s="69"/>
      <c r="AH413" s="69"/>
      <c r="AI413" s="73"/>
      <c r="AJ413" s="73"/>
      <c r="AK413" s="73"/>
      <c r="AL413" s="69"/>
      <c r="AM413" s="69"/>
      <c r="AN413" s="120"/>
      <c r="AO413" s="76" t="b">
        <f>IF(K413 = "Lease",+PV(AN413/(AF413/Table3[[#This Row],[Assessed Term]]),AF413,-AI413,0,IF(AE413="Beginning",1,0)))</f>
        <v>0</v>
      </c>
      <c r="AP413" s="69"/>
      <c r="AQ413" s="76">
        <f t="shared" si="39"/>
        <v>0</v>
      </c>
      <c r="AR413" s="72"/>
    </row>
    <row r="414" spans="1:44">
      <c r="A414" s="69"/>
      <c r="B414" s="70"/>
      <c r="C414" s="69"/>
      <c r="D414" s="69"/>
      <c r="E414" s="69"/>
      <c r="F414" s="69"/>
      <c r="G414" s="69"/>
      <c r="H414" s="69"/>
      <c r="I414" s="69"/>
      <c r="J414" s="69"/>
      <c r="K414" t="str">
        <f t="shared" si="40"/>
        <v>Not a Lease</v>
      </c>
      <c r="L414" s="69"/>
      <c r="M414" s="69"/>
      <c r="N414" s="69"/>
      <c r="O414" s="69"/>
      <c r="P414" s="69"/>
      <c r="Q414" s="69"/>
      <c r="R414" s="69"/>
      <c r="S414" s="69"/>
      <c r="T414" s="69"/>
      <c r="U414" s="69"/>
      <c r="V414" s="69"/>
      <c r="W414" s="69"/>
      <c r="X414" s="69"/>
      <c r="Y414" s="69"/>
      <c r="Z414">
        <f t="shared" si="38"/>
        <v>0</v>
      </c>
      <c r="AA414">
        <f t="shared" si="41"/>
        <v>0</v>
      </c>
      <c r="AB414">
        <f t="shared" si="42"/>
        <v>0</v>
      </c>
      <c r="AC414">
        <f>+IF(Table3[[#This Row],[Do Both Parties have to agree for extension to occur?]]="Yes",0,IF(AND(W414="Yes",Q414="Yes"),IF(R414=X414,R414,MAX(R414,X414)),IF(AND(W414="Yes",OR(Q414="No",Q414="")),X414,IF(AND(OR(W414="No",W414=""),Q414="Yes"),R414,0))))</f>
        <v>0</v>
      </c>
      <c r="AD414" s="69"/>
      <c r="AE414" s="69"/>
      <c r="AF414" t="str">
        <f>IF(AD414="Monthly",Table3[[#This Row],[Assessed Term]]*12,IF(AD414="quarterly",Table3[[#This Row],[Assessed Term]]*4,IF(AD414="annually",Table3[[#This Row],[Assessed Term]]*1,IF(AD414="weekly",Table3[[#This Row],[Assessed Term]]*52,IF(AD414="semiannually",Table3[[#This Row],[Assessed Term]]*2," ")))))</f>
        <v xml:space="preserve"> </v>
      </c>
      <c r="AG414" s="69"/>
      <c r="AH414" s="69"/>
      <c r="AI414" s="73"/>
      <c r="AJ414" s="73"/>
      <c r="AK414" s="73"/>
      <c r="AL414" s="69"/>
      <c r="AM414" s="69"/>
      <c r="AN414" s="120"/>
      <c r="AO414" s="76" t="b">
        <f>IF(K414 = "Lease",+PV(AN414/(AF414/Table3[[#This Row],[Assessed Term]]),AF414,-AI414,0,IF(AE414="Beginning",1,0)))</f>
        <v>0</v>
      </c>
      <c r="AP414" s="69"/>
      <c r="AQ414" s="76">
        <f t="shared" si="39"/>
        <v>0</v>
      </c>
      <c r="AR414" s="72"/>
    </row>
    <row r="415" spans="1:44">
      <c r="A415" s="69"/>
      <c r="B415" s="70"/>
      <c r="C415" s="69"/>
      <c r="D415" s="69"/>
      <c r="E415" s="69"/>
      <c r="F415" s="69"/>
      <c r="G415" s="69"/>
      <c r="H415" s="69"/>
      <c r="I415" s="69"/>
      <c r="J415" s="69"/>
      <c r="K415" t="str">
        <f t="shared" si="40"/>
        <v>Not a Lease</v>
      </c>
      <c r="L415" s="69"/>
      <c r="M415" s="69"/>
      <c r="N415" s="69"/>
      <c r="O415" s="69"/>
      <c r="P415" s="69"/>
      <c r="Q415" s="69"/>
      <c r="R415" s="69"/>
      <c r="S415" s="69"/>
      <c r="T415" s="69"/>
      <c r="U415" s="69"/>
      <c r="V415" s="69"/>
      <c r="W415" s="69"/>
      <c r="X415" s="69"/>
      <c r="Y415" s="69"/>
      <c r="Z415">
        <f t="shared" si="38"/>
        <v>0</v>
      </c>
      <c r="AA415">
        <f t="shared" si="41"/>
        <v>0</v>
      </c>
      <c r="AB415">
        <f t="shared" si="42"/>
        <v>0</v>
      </c>
      <c r="AC415">
        <f>+IF(Table3[[#This Row],[Do Both Parties have to agree for extension to occur?]]="Yes",0,IF(AND(W415="Yes",Q415="Yes"),IF(R415=X415,R415,MAX(R415,X415)),IF(AND(W415="Yes",OR(Q415="No",Q415="")),X415,IF(AND(OR(W415="No",W415=""),Q415="Yes"),R415,0))))</f>
        <v>0</v>
      </c>
      <c r="AD415" s="69"/>
      <c r="AE415" s="69"/>
      <c r="AF415" t="str">
        <f>IF(AD415="Monthly",Table3[[#This Row],[Assessed Term]]*12,IF(AD415="quarterly",Table3[[#This Row],[Assessed Term]]*4,IF(AD415="annually",Table3[[#This Row],[Assessed Term]]*1,IF(AD415="weekly",Table3[[#This Row],[Assessed Term]]*52,IF(AD415="semiannually",Table3[[#This Row],[Assessed Term]]*2," ")))))</f>
        <v xml:space="preserve"> </v>
      </c>
      <c r="AG415" s="69"/>
      <c r="AH415" s="69"/>
      <c r="AI415" s="73"/>
      <c r="AJ415" s="73"/>
      <c r="AK415" s="73"/>
      <c r="AL415" s="69"/>
      <c r="AM415" s="69"/>
      <c r="AN415" s="120"/>
      <c r="AO415" s="76" t="b">
        <f>IF(K415 = "Lease",+PV(AN415/(AF415/Table3[[#This Row],[Assessed Term]]),AF415,-AI415,0,IF(AE415="Beginning",1,0)))</f>
        <v>0</v>
      </c>
      <c r="AP415" s="69"/>
      <c r="AQ415" s="76">
        <f t="shared" si="39"/>
        <v>0</v>
      </c>
      <c r="AR415" s="72"/>
    </row>
    <row r="416" spans="1:44">
      <c r="A416" s="69"/>
      <c r="B416" s="70"/>
      <c r="C416" s="69"/>
      <c r="D416" s="69"/>
      <c r="E416" s="69"/>
      <c r="F416" s="69"/>
      <c r="G416" s="69"/>
      <c r="H416" s="69"/>
      <c r="I416" s="69"/>
      <c r="J416" s="69"/>
      <c r="K416" t="str">
        <f t="shared" si="40"/>
        <v>Not a Lease</v>
      </c>
      <c r="L416" s="69"/>
      <c r="M416" s="69"/>
      <c r="N416" s="69"/>
      <c r="O416" s="69"/>
      <c r="P416" s="69"/>
      <c r="Q416" s="69"/>
      <c r="R416" s="69"/>
      <c r="S416" s="69"/>
      <c r="T416" s="69"/>
      <c r="U416" s="69"/>
      <c r="V416" s="69"/>
      <c r="W416" s="69"/>
      <c r="X416" s="69"/>
      <c r="Y416" s="69"/>
      <c r="Z416">
        <f t="shared" si="38"/>
        <v>0</v>
      </c>
      <c r="AA416">
        <f t="shared" si="41"/>
        <v>0</v>
      </c>
      <c r="AB416">
        <f t="shared" si="42"/>
        <v>0</v>
      </c>
      <c r="AC416">
        <f>+IF(Table3[[#This Row],[Do Both Parties have to agree for extension to occur?]]="Yes",0,IF(AND(W416="Yes",Q416="Yes"),IF(R416=X416,R416,MAX(R416,X416)),IF(AND(W416="Yes",OR(Q416="No",Q416="")),X416,IF(AND(OR(W416="No",W416=""),Q416="Yes"),R416,0))))</f>
        <v>0</v>
      </c>
      <c r="AD416" s="69"/>
      <c r="AE416" s="69"/>
      <c r="AF416" t="str">
        <f>IF(AD416="Monthly",Table3[[#This Row],[Assessed Term]]*12,IF(AD416="quarterly",Table3[[#This Row],[Assessed Term]]*4,IF(AD416="annually",Table3[[#This Row],[Assessed Term]]*1,IF(AD416="weekly",Table3[[#This Row],[Assessed Term]]*52,IF(AD416="semiannually",Table3[[#This Row],[Assessed Term]]*2," ")))))</f>
        <v xml:space="preserve"> </v>
      </c>
      <c r="AG416" s="69"/>
      <c r="AH416" s="69"/>
      <c r="AI416" s="73"/>
      <c r="AJ416" s="73"/>
      <c r="AK416" s="73"/>
      <c r="AL416" s="69"/>
      <c r="AM416" s="69"/>
      <c r="AN416" s="120"/>
      <c r="AO416" s="76" t="b">
        <f>IF(K416 = "Lease",+PV(AN416/(AF416/Table3[[#This Row],[Assessed Term]]),AF416,-AI416,0,IF(AE416="Beginning",1,0)))</f>
        <v>0</v>
      </c>
      <c r="AP416" s="69"/>
      <c r="AQ416" s="76">
        <f t="shared" si="39"/>
        <v>0</v>
      </c>
      <c r="AR416" s="72"/>
    </row>
    <row r="417" spans="1:44">
      <c r="A417" s="69"/>
      <c r="B417" s="70"/>
      <c r="C417" s="69"/>
      <c r="D417" s="69"/>
      <c r="E417" s="69"/>
      <c r="F417" s="69"/>
      <c r="G417" s="69"/>
      <c r="H417" s="69"/>
      <c r="I417" s="69"/>
      <c r="J417" s="69"/>
      <c r="K417" t="str">
        <f t="shared" si="40"/>
        <v>Not a Lease</v>
      </c>
      <c r="L417" s="69"/>
      <c r="M417" s="69"/>
      <c r="N417" s="69"/>
      <c r="O417" s="69"/>
      <c r="P417" s="69"/>
      <c r="Q417" s="69"/>
      <c r="R417" s="69"/>
      <c r="S417" s="69"/>
      <c r="T417" s="69"/>
      <c r="U417" s="69"/>
      <c r="V417" s="69"/>
      <c r="W417" s="69"/>
      <c r="X417" s="69"/>
      <c r="Y417" s="69"/>
      <c r="Z417">
        <f t="shared" ref="Z417:Z480" si="43">+IF(AB417=0,AA417+AC417,AB417)</f>
        <v>0</v>
      </c>
      <c r="AA417">
        <f t="shared" si="41"/>
        <v>0</v>
      </c>
      <c r="AB417">
        <f t="shared" si="42"/>
        <v>0</v>
      </c>
      <c r="AC417">
        <f>+IF(Table3[[#This Row],[Do Both Parties have to agree for extension to occur?]]="Yes",0,IF(AND(W417="Yes",Q417="Yes"),IF(R417=X417,R417,MAX(R417,X417)),IF(AND(W417="Yes",OR(Q417="No",Q417="")),X417,IF(AND(OR(W417="No",W417=""),Q417="Yes"),R417,0))))</f>
        <v>0</v>
      </c>
      <c r="AD417" s="69"/>
      <c r="AE417" s="69"/>
      <c r="AF417" t="str">
        <f>IF(AD417="Monthly",Table3[[#This Row],[Assessed Term]]*12,IF(AD417="quarterly",Table3[[#This Row],[Assessed Term]]*4,IF(AD417="annually",Table3[[#This Row],[Assessed Term]]*1,IF(AD417="weekly",Table3[[#This Row],[Assessed Term]]*52,IF(AD417="semiannually",Table3[[#This Row],[Assessed Term]]*2," ")))))</f>
        <v xml:space="preserve"> </v>
      </c>
      <c r="AG417" s="69"/>
      <c r="AH417" s="69"/>
      <c r="AI417" s="73"/>
      <c r="AJ417" s="73"/>
      <c r="AK417" s="73"/>
      <c r="AL417" s="69"/>
      <c r="AM417" s="69"/>
      <c r="AN417" s="120"/>
      <c r="AO417" s="76" t="b">
        <f>IF(K417 = "Lease",+PV(AN417/(AF417/Table3[[#This Row],[Assessed Term]]),AF417,-AI417,0,IF(AE417="Beginning",1,0)))</f>
        <v>0</v>
      </c>
      <c r="AP417" s="69"/>
      <c r="AQ417" s="76">
        <f t="shared" ref="AQ417:AQ480" si="44">+IF(AP417 = "no",AO417,0)</f>
        <v>0</v>
      </c>
      <c r="AR417" s="72"/>
    </row>
    <row r="418" spans="1:44">
      <c r="A418" s="69"/>
      <c r="B418" s="70"/>
      <c r="C418" s="69"/>
      <c r="D418" s="69"/>
      <c r="E418" s="69"/>
      <c r="F418" s="69"/>
      <c r="G418" s="69"/>
      <c r="H418" s="69"/>
      <c r="I418" s="69"/>
      <c r="J418" s="69"/>
      <c r="K418" t="str">
        <f t="shared" si="40"/>
        <v>Not a Lease</v>
      </c>
      <c r="L418" s="69"/>
      <c r="M418" s="69"/>
      <c r="N418" s="69"/>
      <c r="O418" s="69"/>
      <c r="P418" s="69"/>
      <c r="Q418" s="69"/>
      <c r="R418" s="69"/>
      <c r="S418" s="69"/>
      <c r="T418" s="69"/>
      <c r="U418" s="69"/>
      <c r="V418" s="69"/>
      <c r="W418" s="69"/>
      <c r="X418" s="69"/>
      <c r="Y418" s="69"/>
      <c r="Z418">
        <f t="shared" si="43"/>
        <v>0</v>
      </c>
      <c r="AA418">
        <f t="shared" si="41"/>
        <v>0</v>
      </c>
      <c r="AB418">
        <f t="shared" si="42"/>
        <v>0</v>
      </c>
      <c r="AC418">
        <f>+IF(Table3[[#This Row],[Do Both Parties have to agree for extension to occur?]]="Yes",0,IF(AND(W418="Yes",Q418="Yes"),IF(R418=X418,R418,MAX(R418,X418)),IF(AND(W418="Yes",OR(Q418="No",Q418="")),X418,IF(AND(OR(W418="No",W418=""),Q418="Yes"),R418,0))))</f>
        <v>0</v>
      </c>
      <c r="AD418" s="69"/>
      <c r="AE418" s="69"/>
      <c r="AF418" t="str">
        <f>IF(AD418="Monthly",Table3[[#This Row],[Assessed Term]]*12,IF(AD418="quarterly",Table3[[#This Row],[Assessed Term]]*4,IF(AD418="annually",Table3[[#This Row],[Assessed Term]]*1,IF(AD418="weekly",Table3[[#This Row],[Assessed Term]]*52,IF(AD418="semiannually",Table3[[#This Row],[Assessed Term]]*2," ")))))</f>
        <v xml:space="preserve"> </v>
      </c>
      <c r="AG418" s="69"/>
      <c r="AH418" s="69"/>
      <c r="AI418" s="73"/>
      <c r="AJ418" s="73"/>
      <c r="AK418" s="73"/>
      <c r="AL418" s="69"/>
      <c r="AM418" s="69"/>
      <c r="AN418" s="120"/>
      <c r="AO418" s="76" t="b">
        <f>IF(K418 = "Lease",+PV(AN418/(AF418/Table3[[#This Row],[Assessed Term]]),AF418,-AI418,0,IF(AE418="Beginning",1,0)))</f>
        <v>0</v>
      </c>
      <c r="AP418" s="69"/>
      <c r="AQ418" s="76">
        <f t="shared" si="44"/>
        <v>0</v>
      </c>
      <c r="AR418" s="72"/>
    </row>
    <row r="419" spans="1:44">
      <c r="A419" s="69"/>
      <c r="B419" s="70"/>
      <c r="C419" s="69"/>
      <c r="D419" s="69"/>
      <c r="E419" s="69"/>
      <c r="F419" s="69"/>
      <c r="G419" s="69"/>
      <c r="H419" s="69"/>
      <c r="I419" s="69"/>
      <c r="J419" s="69"/>
      <c r="K419" t="str">
        <f t="shared" si="40"/>
        <v>Not a Lease</v>
      </c>
      <c r="L419" s="69"/>
      <c r="M419" s="69"/>
      <c r="N419" s="69"/>
      <c r="O419" s="69"/>
      <c r="P419" s="69"/>
      <c r="Q419" s="69"/>
      <c r="R419" s="69"/>
      <c r="S419" s="69"/>
      <c r="T419" s="69"/>
      <c r="U419" s="69"/>
      <c r="V419" s="69"/>
      <c r="W419" s="69"/>
      <c r="X419" s="69"/>
      <c r="Y419" s="69"/>
      <c r="Z419">
        <f t="shared" si="43"/>
        <v>0</v>
      </c>
      <c r="AA419">
        <f t="shared" si="41"/>
        <v>0</v>
      </c>
      <c r="AB419">
        <f t="shared" si="42"/>
        <v>0</v>
      </c>
      <c r="AC419">
        <f>+IF(Table3[[#This Row],[Do Both Parties have to agree for extension to occur?]]="Yes",0,IF(AND(W419="Yes",Q419="Yes"),IF(R419=X419,R419,MAX(R419,X419)),IF(AND(W419="Yes",OR(Q419="No",Q419="")),X419,IF(AND(OR(W419="No",W419=""),Q419="Yes"),R419,0))))</f>
        <v>0</v>
      </c>
      <c r="AD419" s="69"/>
      <c r="AE419" s="69"/>
      <c r="AF419" t="str">
        <f>IF(AD419="Monthly",Table3[[#This Row],[Assessed Term]]*12,IF(AD419="quarterly",Table3[[#This Row],[Assessed Term]]*4,IF(AD419="annually",Table3[[#This Row],[Assessed Term]]*1,IF(AD419="weekly",Table3[[#This Row],[Assessed Term]]*52,IF(AD419="semiannually",Table3[[#This Row],[Assessed Term]]*2," ")))))</f>
        <v xml:space="preserve"> </v>
      </c>
      <c r="AG419" s="69"/>
      <c r="AH419" s="69"/>
      <c r="AI419" s="73"/>
      <c r="AJ419" s="73"/>
      <c r="AK419" s="73"/>
      <c r="AL419" s="69"/>
      <c r="AM419" s="69"/>
      <c r="AN419" s="120"/>
      <c r="AO419" s="76" t="b">
        <f>IF(K419 = "Lease",+PV(AN419/(AF419/Table3[[#This Row],[Assessed Term]]),AF419,-AI419,0,IF(AE419="Beginning",1,0)))</f>
        <v>0</v>
      </c>
      <c r="AP419" s="69"/>
      <c r="AQ419" s="76">
        <f t="shared" si="44"/>
        <v>0</v>
      </c>
      <c r="AR419" s="72"/>
    </row>
    <row r="420" spans="1:44">
      <c r="A420" s="69"/>
      <c r="B420" s="70"/>
      <c r="C420" s="69"/>
      <c r="D420" s="69"/>
      <c r="E420" s="69"/>
      <c r="F420" s="69"/>
      <c r="G420" s="69"/>
      <c r="H420" s="69"/>
      <c r="I420" s="69"/>
      <c r="J420" s="69"/>
      <c r="K420" t="str">
        <f t="shared" si="40"/>
        <v>Not a Lease</v>
      </c>
      <c r="L420" s="69"/>
      <c r="M420" s="69"/>
      <c r="N420" s="69"/>
      <c r="O420" s="69"/>
      <c r="P420" s="69"/>
      <c r="Q420" s="69"/>
      <c r="R420" s="69"/>
      <c r="S420" s="69"/>
      <c r="T420" s="69"/>
      <c r="U420" s="69"/>
      <c r="V420" s="69"/>
      <c r="W420" s="69"/>
      <c r="X420" s="69"/>
      <c r="Y420" s="69"/>
      <c r="Z420">
        <f t="shared" si="43"/>
        <v>0</v>
      </c>
      <c r="AA420">
        <f t="shared" si="41"/>
        <v>0</v>
      </c>
      <c r="AB420">
        <f t="shared" si="42"/>
        <v>0</v>
      </c>
      <c r="AC420">
        <f>+IF(Table3[[#This Row],[Do Both Parties have to agree for extension to occur?]]="Yes",0,IF(AND(W420="Yes",Q420="Yes"),IF(R420=X420,R420,MAX(R420,X420)),IF(AND(W420="Yes",OR(Q420="No",Q420="")),X420,IF(AND(OR(W420="No",W420=""),Q420="Yes"),R420,0))))</f>
        <v>0</v>
      </c>
      <c r="AD420" s="69"/>
      <c r="AE420" s="69"/>
      <c r="AF420" t="str">
        <f>IF(AD420="Monthly",Table3[[#This Row],[Assessed Term]]*12,IF(AD420="quarterly",Table3[[#This Row],[Assessed Term]]*4,IF(AD420="annually",Table3[[#This Row],[Assessed Term]]*1,IF(AD420="weekly",Table3[[#This Row],[Assessed Term]]*52,IF(AD420="semiannually",Table3[[#This Row],[Assessed Term]]*2," ")))))</f>
        <v xml:space="preserve"> </v>
      </c>
      <c r="AG420" s="69"/>
      <c r="AH420" s="69"/>
      <c r="AI420" s="73"/>
      <c r="AJ420" s="73"/>
      <c r="AK420" s="73"/>
      <c r="AL420" s="69"/>
      <c r="AM420" s="69"/>
      <c r="AN420" s="120"/>
      <c r="AO420" s="76" t="b">
        <f>IF(K420 = "Lease",+PV(AN420/(AF420/Table3[[#This Row],[Assessed Term]]),AF420,-AI420,0,IF(AE420="Beginning",1,0)))</f>
        <v>0</v>
      </c>
      <c r="AP420" s="69"/>
      <c r="AQ420" s="76">
        <f t="shared" si="44"/>
        <v>0</v>
      </c>
      <c r="AR420" s="72"/>
    </row>
    <row r="421" spans="1:44">
      <c r="A421" s="69"/>
      <c r="B421" s="70"/>
      <c r="C421" s="69"/>
      <c r="D421" s="69"/>
      <c r="E421" s="69"/>
      <c r="F421" s="69"/>
      <c r="G421" s="69"/>
      <c r="H421" s="69"/>
      <c r="I421" s="69"/>
      <c r="J421" s="69"/>
      <c r="K421" t="str">
        <f t="shared" si="40"/>
        <v>Not a Lease</v>
      </c>
      <c r="L421" s="69"/>
      <c r="M421" s="69"/>
      <c r="N421" s="69"/>
      <c r="O421" s="69"/>
      <c r="P421" s="69"/>
      <c r="Q421" s="69"/>
      <c r="R421" s="69"/>
      <c r="S421" s="69"/>
      <c r="T421" s="69"/>
      <c r="U421" s="69"/>
      <c r="V421" s="69"/>
      <c r="W421" s="69"/>
      <c r="X421" s="69"/>
      <c r="Y421" s="69"/>
      <c r="Z421">
        <f t="shared" si="43"/>
        <v>0</v>
      </c>
      <c r="AA421">
        <f t="shared" si="41"/>
        <v>0</v>
      </c>
      <c r="AB421">
        <f t="shared" si="42"/>
        <v>0</v>
      </c>
      <c r="AC421">
        <f>+IF(Table3[[#This Row],[Do Both Parties have to agree for extension to occur?]]="Yes",0,IF(AND(W421="Yes",Q421="Yes"),IF(R421=X421,R421,MAX(R421,X421)),IF(AND(W421="Yes",OR(Q421="No",Q421="")),X421,IF(AND(OR(W421="No",W421=""),Q421="Yes"),R421,0))))</f>
        <v>0</v>
      </c>
      <c r="AD421" s="69"/>
      <c r="AE421" s="69"/>
      <c r="AF421" t="str">
        <f>IF(AD421="Monthly",Table3[[#This Row],[Assessed Term]]*12,IF(AD421="quarterly",Table3[[#This Row],[Assessed Term]]*4,IF(AD421="annually",Table3[[#This Row],[Assessed Term]]*1,IF(AD421="weekly",Table3[[#This Row],[Assessed Term]]*52,IF(AD421="semiannually",Table3[[#This Row],[Assessed Term]]*2," ")))))</f>
        <v xml:space="preserve"> </v>
      </c>
      <c r="AG421" s="69"/>
      <c r="AH421" s="69"/>
      <c r="AI421" s="73"/>
      <c r="AJ421" s="73"/>
      <c r="AK421" s="73"/>
      <c r="AL421" s="69"/>
      <c r="AM421" s="69"/>
      <c r="AN421" s="120"/>
      <c r="AO421" s="76" t="b">
        <f>IF(K421 = "Lease",+PV(AN421/(AF421/Table3[[#This Row],[Assessed Term]]),AF421,-AI421,0,IF(AE421="Beginning",1,0)))</f>
        <v>0</v>
      </c>
      <c r="AP421" s="69"/>
      <c r="AQ421" s="76">
        <f t="shared" si="44"/>
        <v>0</v>
      </c>
      <c r="AR421" s="72"/>
    </row>
    <row r="422" spans="1:44">
      <c r="A422" s="69"/>
      <c r="B422" s="70"/>
      <c r="C422" s="69"/>
      <c r="D422" s="69"/>
      <c r="E422" s="69"/>
      <c r="F422" s="69"/>
      <c r="G422" s="69"/>
      <c r="H422" s="69"/>
      <c r="I422" s="69"/>
      <c r="J422" s="69"/>
      <c r="K422" t="str">
        <f t="shared" si="40"/>
        <v>Not a Lease</v>
      </c>
      <c r="L422" s="69"/>
      <c r="M422" s="69"/>
      <c r="N422" s="69"/>
      <c r="O422" s="69"/>
      <c r="P422" s="69"/>
      <c r="Q422" s="69"/>
      <c r="R422" s="69"/>
      <c r="S422" s="69"/>
      <c r="T422" s="69"/>
      <c r="U422" s="69"/>
      <c r="V422" s="69"/>
      <c r="W422" s="69"/>
      <c r="X422" s="69"/>
      <c r="Y422" s="69"/>
      <c r="Z422">
        <f t="shared" si="43"/>
        <v>0</v>
      </c>
      <c r="AA422">
        <f t="shared" si="41"/>
        <v>0</v>
      </c>
      <c r="AB422">
        <f t="shared" si="42"/>
        <v>0</v>
      </c>
      <c r="AC422">
        <f>+IF(Table3[[#This Row],[Do Both Parties have to agree for extension to occur?]]="Yes",0,IF(AND(W422="Yes",Q422="Yes"),IF(R422=X422,R422,MAX(R422,X422)),IF(AND(W422="Yes",OR(Q422="No",Q422="")),X422,IF(AND(OR(W422="No",W422=""),Q422="Yes"),R422,0))))</f>
        <v>0</v>
      </c>
      <c r="AD422" s="69"/>
      <c r="AE422" s="69"/>
      <c r="AF422" t="str">
        <f>IF(AD422="Monthly",Table3[[#This Row],[Assessed Term]]*12,IF(AD422="quarterly",Table3[[#This Row],[Assessed Term]]*4,IF(AD422="annually",Table3[[#This Row],[Assessed Term]]*1,IF(AD422="weekly",Table3[[#This Row],[Assessed Term]]*52,IF(AD422="semiannually",Table3[[#This Row],[Assessed Term]]*2," ")))))</f>
        <v xml:space="preserve"> </v>
      </c>
      <c r="AG422" s="69"/>
      <c r="AH422" s="69"/>
      <c r="AI422" s="73"/>
      <c r="AJ422" s="73"/>
      <c r="AK422" s="73"/>
      <c r="AL422" s="69"/>
      <c r="AM422" s="69"/>
      <c r="AN422" s="120"/>
      <c r="AO422" s="76" t="b">
        <f>IF(K422 = "Lease",+PV(AN422/(AF422/Table3[[#This Row],[Assessed Term]]),AF422,-AI422,0,IF(AE422="Beginning",1,0)))</f>
        <v>0</v>
      </c>
      <c r="AP422" s="69"/>
      <c r="AQ422" s="76">
        <f t="shared" si="44"/>
        <v>0</v>
      </c>
      <c r="AR422" s="72"/>
    </row>
    <row r="423" spans="1:44">
      <c r="A423" s="69"/>
      <c r="B423" s="70"/>
      <c r="C423" s="69"/>
      <c r="D423" s="69"/>
      <c r="E423" s="69"/>
      <c r="F423" s="69"/>
      <c r="G423" s="69"/>
      <c r="H423" s="69"/>
      <c r="I423" s="69"/>
      <c r="J423" s="69"/>
      <c r="K423" t="str">
        <f t="shared" si="40"/>
        <v>Not a Lease</v>
      </c>
      <c r="L423" s="69"/>
      <c r="M423" s="69"/>
      <c r="N423" s="69"/>
      <c r="O423" s="69"/>
      <c r="P423" s="69"/>
      <c r="Q423" s="69"/>
      <c r="R423" s="69"/>
      <c r="S423" s="69"/>
      <c r="T423" s="69"/>
      <c r="U423" s="69"/>
      <c r="V423" s="69"/>
      <c r="W423" s="69"/>
      <c r="X423" s="69"/>
      <c r="Y423" s="69"/>
      <c r="Z423">
        <f t="shared" si="43"/>
        <v>0</v>
      </c>
      <c r="AA423">
        <f t="shared" si="41"/>
        <v>0</v>
      </c>
      <c r="AB423">
        <f t="shared" si="42"/>
        <v>0</v>
      </c>
      <c r="AC423">
        <f>+IF(Table3[[#This Row],[Do Both Parties have to agree for extension to occur?]]="Yes",0,IF(AND(W423="Yes",Q423="Yes"),IF(R423=X423,R423,MAX(R423,X423)),IF(AND(W423="Yes",OR(Q423="No",Q423="")),X423,IF(AND(OR(W423="No",W423=""),Q423="Yes"),R423,0))))</f>
        <v>0</v>
      </c>
      <c r="AD423" s="69"/>
      <c r="AE423" s="69"/>
      <c r="AF423" t="str">
        <f>IF(AD423="Monthly",Table3[[#This Row],[Assessed Term]]*12,IF(AD423="quarterly",Table3[[#This Row],[Assessed Term]]*4,IF(AD423="annually",Table3[[#This Row],[Assessed Term]]*1,IF(AD423="weekly",Table3[[#This Row],[Assessed Term]]*52,IF(AD423="semiannually",Table3[[#This Row],[Assessed Term]]*2," ")))))</f>
        <v xml:space="preserve"> </v>
      </c>
      <c r="AG423" s="69"/>
      <c r="AH423" s="69"/>
      <c r="AI423" s="73"/>
      <c r="AJ423" s="73"/>
      <c r="AK423" s="73"/>
      <c r="AL423" s="69"/>
      <c r="AM423" s="69"/>
      <c r="AN423" s="120"/>
      <c r="AO423" s="76" t="b">
        <f>IF(K423 = "Lease",+PV(AN423/(AF423/Table3[[#This Row],[Assessed Term]]),AF423,-AI423,0,IF(AE423="Beginning",1,0)))</f>
        <v>0</v>
      </c>
      <c r="AP423" s="69"/>
      <c r="AQ423" s="76">
        <f t="shared" si="44"/>
        <v>0</v>
      </c>
      <c r="AR423" s="72"/>
    </row>
    <row r="424" spans="1:44">
      <c r="A424" s="69"/>
      <c r="B424" s="70"/>
      <c r="C424" s="69"/>
      <c r="D424" s="69"/>
      <c r="E424" s="69"/>
      <c r="F424" s="69"/>
      <c r="G424" s="69"/>
      <c r="H424" s="69"/>
      <c r="I424" s="69"/>
      <c r="J424" s="69"/>
      <c r="K424" t="str">
        <f t="shared" si="40"/>
        <v>Not a Lease</v>
      </c>
      <c r="L424" s="69"/>
      <c r="M424" s="69"/>
      <c r="N424" s="69"/>
      <c r="O424" s="69"/>
      <c r="P424" s="69"/>
      <c r="Q424" s="69"/>
      <c r="R424" s="69"/>
      <c r="S424" s="69"/>
      <c r="T424" s="69"/>
      <c r="U424" s="69"/>
      <c r="V424" s="69"/>
      <c r="W424" s="69"/>
      <c r="X424" s="69"/>
      <c r="Y424" s="69"/>
      <c r="Z424">
        <f t="shared" si="43"/>
        <v>0</v>
      </c>
      <c r="AA424">
        <f t="shared" si="41"/>
        <v>0</v>
      </c>
      <c r="AB424">
        <f t="shared" si="42"/>
        <v>0</v>
      </c>
      <c r="AC424">
        <f>+IF(Table3[[#This Row],[Do Both Parties have to agree for extension to occur?]]="Yes",0,IF(AND(W424="Yes",Q424="Yes"),IF(R424=X424,R424,MAX(R424,X424)),IF(AND(W424="Yes",OR(Q424="No",Q424="")),X424,IF(AND(OR(W424="No",W424=""),Q424="Yes"),R424,0))))</f>
        <v>0</v>
      </c>
      <c r="AD424" s="69"/>
      <c r="AE424" s="69"/>
      <c r="AF424" t="str">
        <f>IF(AD424="Monthly",Table3[[#This Row],[Assessed Term]]*12,IF(AD424="quarterly",Table3[[#This Row],[Assessed Term]]*4,IF(AD424="annually",Table3[[#This Row],[Assessed Term]]*1,IF(AD424="weekly",Table3[[#This Row],[Assessed Term]]*52,IF(AD424="semiannually",Table3[[#This Row],[Assessed Term]]*2," ")))))</f>
        <v xml:space="preserve"> </v>
      </c>
      <c r="AG424" s="69"/>
      <c r="AH424" s="69"/>
      <c r="AI424" s="73"/>
      <c r="AJ424" s="73"/>
      <c r="AK424" s="73"/>
      <c r="AL424" s="69"/>
      <c r="AM424" s="69"/>
      <c r="AN424" s="120"/>
      <c r="AO424" s="76" t="b">
        <f>IF(K424 = "Lease",+PV(AN424/(AF424/Table3[[#This Row],[Assessed Term]]),AF424,-AI424,0,IF(AE424="Beginning",1,0)))</f>
        <v>0</v>
      </c>
      <c r="AP424" s="69"/>
      <c r="AQ424" s="76">
        <f t="shared" si="44"/>
        <v>0</v>
      </c>
      <c r="AR424" s="72"/>
    </row>
    <row r="425" spans="1:44">
      <c r="A425" s="69"/>
      <c r="B425" s="70"/>
      <c r="C425" s="69"/>
      <c r="D425" s="69"/>
      <c r="E425" s="69"/>
      <c r="F425" s="69"/>
      <c r="G425" s="69"/>
      <c r="H425" s="69"/>
      <c r="I425" s="69"/>
      <c r="J425" s="69"/>
      <c r="K425" t="str">
        <f t="shared" si="40"/>
        <v>Not a Lease</v>
      </c>
      <c r="L425" s="69"/>
      <c r="M425" s="69"/>
      <c r="N425" s="69"/>
      <c r="O425" s="69"/>
      <c r="P425" s="69"/>
      <c r="Q425" s="69"/>
      <c r="R425" s="69"/>
      <c r="S425" s="69"/>
      <c r="T425" s="69"/>
      <c r="U425" s="69"/>
      <c r="V425" s="69"/>
      <c r="W425" s="69"/>
      <c r="X425" s="69"/>
      <c r="Y425" s="69"/>
      <c r="Z425">
        <f t="shared" si="43"/>
        <v>0</v>
      </c>
      <c r="AA425">
        <f t="shared" si="41"/>
        <v>0</v>
      </c>
      <c r="AB425">
        <f t="shared" si="42"/>
        <v>0</v>
      </c>
      <c r="AC425">
        <f>+IF(Table3[[#This Row],[Do Both Parties have to agree for extension to occur?]]="Yes",0,IF(AND(W425="Yes",Q425="Yes"),IF(R425=X425,R425,MAX(R425,X425)),IF(AND(W425="Yes",OR(Q425="No",Q425="")),X425,IF(AND(OR(W425="No",W425=""),Q425="Yes"),R425,0))))</f>
        <v>0</v>
      </c>
      <c r="AD425" s="69"/>
      <c r="AE425" s="69"/>
      <c r="AF425" t="str">
        <f>IF(AD425="Monthly",Table3[[#This Row],[Assessed Term]]*12,IF(AD425="quarterly",Table3[[#This Row],[Assessed Term]]*4,IF(AD425="annually",Table3[[#This Row],[Assessed Term]]*1,IF(AD425="weekly",Table3[[#This Row],[Assessed Term]]*52,IF(AD425="semiannually",Table3[[#This Row],[Assessed Term]]*2," ")))))</f>
        <v xml:space="preserve"> </v>
      </c>
      <c r="AG425" s="69"/>
      <c r="AH425" s="69"/>
      <c r="AI425" s="73"/>
      <c r="AJ425" s="73"/>
      <c r="AK425" s="73"/>
      <c r="AL425" s="69"/>
      <c r="AM425" s="69"/>
      <c r="AN425" s="120"/>
      <c r="AO425" s="76" t="b">
        <f>IF(K425 = "Lease",+PV(AN425/(AF425/Table3[[#This Row],[Assessed Term]]),AF425,-AI425,0,IF(AE425="Beginning",1,0)))</f>
        <v>0</v>
      </c>
      <c r="AP425" s="69"/>
      <c r="AQ425" s="76">
        <f t="shared" si="44"/>
        <v>0</v>
      </c>
      <c r="AR425" s="72"/>
    </row>
    <row r="426" spans="1:44">
      <c r="A426" s="69"/>
      <c r="B426" s="70"/>
      <c r="C426" s="69"/>
      <c r="D426" s="69"/>
      <c r="E426" s="69"/>
      <c r="F426" s="69"/>
      <c r="G426" s="69"/>
      <c r="H426" s="69"/>
      <c r="I426" s="69"/>
      <c r="J426" s="69"/>
      <c r="K426" t="str">
        <f t="shared" si="40"/>
        <v>Not a Lease</v>
      </c>
      <c r="L426" s="69"/>
      <c r="M426" s="69"/>
      <c r="N426" s="69"/>
      <c r="O426" s="69"/>
      <c r="P426" s="69"/>
      <c r="Q426" s="69"/>
      <c r="R426" s="69"/>
      <c r="S426" s="69"/>
      <c r="T426" s="69"/>
      <c r="U426" s="69"/>
      <c r="V426" s="69"/>
      <c r="W426" s="69"/>
      <c r="X426" s="69"/>
      <c r="Y426" s="69"/>
      <c r="Z426">
        <f t="shared" si="43"/>
        <v>0</v>
      </c>
      <c r="AA426">
        <f t="shared" si="41"/>
        <v>0</v>
      </c>
      <c r="AB426">
        <f t="shared" si="42"/>
        <v>0</v>
      </c>
      <c r="AC426">
        <f>+IF(Table3[[#This Row],[Do Both Parties have to agree for extension to occur?]]="Yes",0,IF(AND(W426="Yes",Q426="Yes"),IF(R426=X426,R426,MAX(R426,X426)),IF(AND(W426="Yes",OR(Q426="No",Q426="")),X426,IF(AND(OR(W426="No",W426=""),Q426="Yes"),R426,0))))</f>
        <v>0</v>
      </c>
      <c r="AD426" s="69"/>
      <c r="AE426" s="69"/>
      <c r="AF426" t="str">
        <f>IF(AD426="Monthly",Table3[[#This Row],[Assessed Term]]*12,IF(AD426="quarterly",Table3[[#This Row],[Assessed Term]]*4,IF(AD426="annually",Table3[[#This Row],[Assessed Term]]*1,IF(AD426="weekly",Table3[[#This Row],[Assessed Term]]*52,IF(AD426="semiannually",Table3[[#This Row],[Assessed Term]]*2," ")))))</f>
        <v xml:space="preserve"> </v>
      </c>
      <c r="AG426" s="69"/>
      <c r="AH426" s="69"/>
      <c r="AI426" s="73"/>
      <c r="AJ426" s="73"/>
      <c r="AK426" s="73"/>
      <c r="AL426" s="69"/>
      <c r="AM426" s="69"/>
      <c r="AN426" s="120"/>
      <c r="AO426" s="76" t="b">
        <f>IF(K426 = "Lease",+PV(AN426/(AF426/Table3[[#This Row],[Assessed Term]]),AF426,-AI426,0,IF(AE426="Beginning",1,0)))</f>
        <v>0</v>
      </c>
      <c r="AP426" s="69"/>
      <c r="AQ426" s="76">
        <f t="shared" si="44"/>
        <v>0</v>
      </c>
      <c r="AR426" s="72"/>
    </row>
    <row r="427" spans="1:44">
      <c r="A427" s="69"/>
      <c r="B427" s="70"/>
      <c r="C427" s="69"/>
      <c r="D427" s="69"/>
      <c r="E427" s="69"/>
      <c r="F427" s="69"/>
      <c r="G427" s="69"/>
      <c r="H427" s="69"/>
      <c r="I427" s="69"/>
      <c r="J427" s="69"/>
      <c r="K427" t="str">
        <f t="shared" si="40"/>
        <v>Not a Lease</v>
      </c>
      <c r="L427" s="69"/>
      <c r="M427" s="69"/>
      <c r="N427" s="69"/>
      <c r="O427" s="69"/>
      <c r="P427" s="69"/>
      <c r="Q427" s="69"/>
      <c r="R427" s="69"/>
      <c r="S427" s="69"/>
      <c r="T427" s="69"/>
      <c r="U427" s="69"/>
      <c r="V427" s="69"/>
      <c r="W427" s="69"/>
      <c r="X427" s="69"/>
      <c r="Y427" s="69"/>
      <c r="Z427">
        <f t="shared" si="43"/>
        <v>0</v>
      </c>
      <c r="AA427">
        <f t="shared" si="41"/>
        <v>0</v>
      </c>
      <c r="AB427">
        <f t="shared" si="42"/>
        <v>0</v>
      </c>
      <c r="AC427">
        <f>+IF(Table3[[#This Row],[Do Both Parties have to agree for extension to occur?]]="Yes",0,IF(AND(W427="Yes",Q427="Yes"),IF(R427=X427,R427,MAX(R427,X427)),IF(AND(W427="Yes",OR(Q427="No",Q427="")),X427,IF(AND(OR(W427="No",W427=""),Q427="Yes"),R427,0))))</f>
        <v>0</v>
      </c>
      <c r="AD427" s="69"/>
      <c r="AE427" s="69"/>
      <c r="AF427" t="str">
        <f>IF(AD427="Monthly",Table3[[#This Row],[Assessed Term]]*12,IF(AD427="quarterly",Table3[[#This Row],[Assessed Term]]*4,IF(AD427="annually",Table3[[#This Row],[Assessed Term]]*1,IF(AD427="weekly",Table3[[#This Row],[Assessed Term]]*52,IF(AD427="semiannually",Table3[[#This Row],[Assessed Term]]*2," ")))))</f>
        <v xml:space="preserve"> </v>
      </c>
      <c r="AG427" s="69"/>
      <c r="AH427" s="69"/>
      <c r="AI427" s="73"/>
      <c r="AJ427" s="73"/>
      <c r="AK427" s="73"/>
      <c r="AL427" s="69"/>
      <c r="AM427" s="69"/>
      <c r="AN427" s="120"/>
      <c r="AO427" s="76" t="b">
        <f>IF(K427 = "Lease",+PV(AN427/(AF427/Table3[[#This Row],[Assessed Term]]),AF427,-AI427,0,IF(AE427="Beginning",1,0)))</f>
        <v>0</v>
      </c>
      <c r="AP427" s="69"/>
      <c r="AQ427" s="76">
        <f t="shared" si="44"/>
        <v>0</v>
      </c>
      <c r="AR427" s="72"/>
    </row>
    <row r="428" spans="1:44">
      <c r="A428" s="69"/>
      <c r="B428" s="70"/>
      <c r="C428" s="69"/>
      <c r="D428" s="69"/>
      <c r="E428" s="69"/>
      <c r="F428" s="69"/>
      <c r="G428" s="69"/>
      <c r="H428" s="69"/>
      <c r="I428" s="69"/>
      <c r="J428" s="69"/>
      <c r="K428" t="str">
        <f t="shared" si="40"/>
        <v>Not a Lease</v>
      </c>
      <c r="L428" s="69"/>
      <c r="M428" s="69"/>
      <c r="N428" s="69"/>
      <c r="O428" s="69"/>
      <c r="P428" s="69"/>
      <c r="Q428" s="69"/>
      <c r="R428" s="69"/>
      <c r="S428" s="69"/>
      <c r="T428" s="69"/>
      <c r="U428" s="69"/>
      <c r="V428" s="69"/>
      <c r="W428" s="69"/>
      <c r="X428" s="69"/>
      <c r="Y428" s="69"/>
      <c r="Z428">
        <f t="shared" si="43"/>
        <v>0</v>
      </c>
      <c r="AA428">
        <f t="shared" si="41"/>
        <v>0</v>
      </c>
      <c r="AB428">
        <f t="shared" si="42"/>
        <v>0</v>
      </c>
      <c r="AC428">
        <f>+IF(Table3[[#This Row],[Do Both Parties have to agree for extension to occur?]]="Yes",0,IF(AND(W428="Yes",Q428="Yes"),IF(R428=X428,R428,MAX(R428,X428)),IF(AND(W428="Yes",OR(Q428="No",Q428="")),X428,IF(AND(OR(W428="No",W428=""),Q428="Yes"),R428,0))))</f>
        <v>0</v>
      </c>
      <c r="AD428" s="69"/>
      <c r="AE428" s="69"/>
      <c r="AF428" t="str">
        <f>IF(AD428="Monthly",Table3[[#This Row],[Assessed Term]]*12,IF(AD428="quarterly",Table3[[#This Row],[Assessed Term]]*4,IF(AD428="annually",Table3[[#This Row],[Assessed Term]]*1,IF(AD428="weekly",Table3[[#This Row],[Assessed Term]]*52,IF(AD428="semiannually",Table3[[#This Row],[Assessed Term]]*2," ")))))</f>
        <v xml:space="preserve"> </v>
      </c>
      <c r="AG428" s="69"/>
      <c r="AH428" s="69"/>
      <c r="AI428" s="73"/>
      <c r="AJ428" s="73"/>
      <c r="AK428" s="73"/>
      <c r="AL428" s="69"/>
      <c r="AM428" s="69"/>
      <c r="AN428" s="120"/>
      <c r="AO428" s="76" t="b">
        <f>IF(K428 = "Lease",+PV(AN428/(AF428/Table3[[#This Row],[Assessed Term]]),AF428,-AI428,0,IF(AE428="Beginning",1,0)))</f>
        <v>0</v>
      </c>
      <c r="AP428" s="69"/>
      <c r="AQ428" s="76">
        <f t="shared" si="44"/>
        <v>0</v>
      </c>
      <c r="AR428" s="72"/>
    </row>
    <row r="429" spans="1:44">
      <c r="A429" s="69"/>
      <c r="B429" s="70"/>
      <c r="C429" s="69"/>
      <c r="D429" s="69"/>
      <c r="E429" s="69"/>
      <c r="F429" s="69"/>
      <c r="G429" s="69"/>
      <c r="H429" s="69"/>
      <c r="I429" s="69"/>
      <c r="J429" s="69"/>
      <c r="K429" t="str">
        <f t="shared" si="40"/>
        <v>Not a Lease</v>
      </c>
      <c r="L429" s="69"/>
      <c r="M429" s="69"/>
      <c r="N429" s="69"/>
      <c r="O429" s="69"/>
      <c r="P429" s="69"/>
      <c r="Q429" s="69"/>
      <c r="R429" s="69"/>
      <c r="S429" s="69"/>
      <c r="T429" s="69"/>
      <c r="U429" s="69"/>
      <c r="V429" s="69"/>
      <c r="W429" s="69"/>
      <c r="X429" s="69"/>
      <c r="Y429" s="69"/>
      <c r="Z429">
        <f t="shared" si="43"/>
        <v>0</v>
      </c>
      <c r="AA429">
        <f t="shared" si="41"/>
        <v>0</v>
      </c>
      <c r="AB429">
        <f t="shared" si="42"/>
        <v>0</v>
      </c>
      <c r="AC429">
        <f>+IF(Table3[[#This Row],[Do Both Parties have to agree for extension to occur?]]="Yes",0,IF(AND(W429="Yes",Q429="Yes"),IF(R429=X429,R429,MAX(R429,X429)),IF(AND(W429="Yes",OR(Q429="No",Q429="")),X429,IF(AND(OR(W429="No",W429=""),Q429="Yes"),R429,0))))</f>
        <v>0</v>
      </c>
      <c r="AD429" s="69"/>
      <c r="AE429" s="69"/>
      <c r="AF429" t="str">
        <f>IF(AD429="Monthly",Table3[[#This Row],[Assessed Term]]*12,IF(AD429="quarterly",Table3[[#This Row],[Assessed Term]]*4,IF(AD429="annually",Table3[[#This Row],[Assessed Term]]*1,IF(AD429="weekly",Table3[[#This Row],[Assessed Term]]*52,IF(AD429="semiannually",Table3[[#This Row],[Assessed Term]]*2," ")))))</f>
        <v xml:space="preserve"> </v>
      </c>
      <c r="AG429" s="69"/>
      <c r="AH429" s="69"/>
      <c r="AI429" s="73"/>
      <c r="AJ429" s="73"/>
      <c r="AK429" s="73"/>
      <c r="AL429" s="69"/>
      <c r="AM429" s="69"/>
      <c r="AN429" s="120"/>
      <c r="AO429" s="76" t="b">
        <f>IF(K429 = "Lease",+PV(AN429/(AF429/Table3[[#This Row],[Assessed Term]]),AF429,-AI429,0,IF(AE429="Beginning",1,0)))</f>
        <v>0</v>
      </c>
      <c r="AP429" s="69"/>
      <c r="AQ429" s="76">
        <f t="shared" si="44"/>
        <v>0</v>
      </c>
      <c r="AR429" s="72"/>
    </row>
    <row r="430" spans="1:44">
      <c r="A430" s="69"/>
      <c r="B430" s="70"/>
      <c r="C430" s="69"/>
      <c r="D430" s="69"/>
      <c r="E430" s="69"/>
      <c r="F430" s="69"/>
      <c r="G430" s="69"/>
      <c r="H430" s="69"/>
      <c r="I430" s="69"/>
      <c r="J430" s="69"/>
      <c r="K430" t="str">
        <f t="shared" si="40"/>
        <v>Not a Lease</v>
      </c>
      <c r="L430" s="69"/>
      <c r="M430" s="69"/>
      <c r="N430" s="69"/>
      <c r="O430" s="69"/>
      <c r="P430" s="69"/>
      <c r="Q430" s="69"/>
      <c r="R430" s="69"/>
      <c r="S430" s="69"/>
      <c r="T430" s="69"/>
      <c r="U430" s="69"/>
      <c r="V430" s="69"/>
      <c r="W430" s="69"/>
      <c r="X430" s="69"/>
      <c r="Y430" s="69"/>
      <c r="Z430">
        <f t="shared" si="43"/>
        <v>0</v>
      </c>
      <c r="AA430">
        <f t="shared" si="41"/>
        <v>0</v>
      </c>
      <c r="AB430">
        <f t="shared" si="42"/>
        <v>0</v>
      </c>
      <c r="AC430">
        <f>+IF(Table3[[#This Row],[Do Both Parties have to agree for extension to occur?]]="Yes",0,IF(AND(W430="Yes",Q430="Yes"),IF(R430=X430,R430,MAX(R430,X430)),IF(AND(W430="Yes",OR(Q430="No",Q430="")),X430,IF(AND(OR(W430="No",W430=""),Q430="Yes"),R430,0))))</f>
        <v>0</v>
      </c>
      <c r="AD430" s="69"/>
      <c r="AE430" s="69"/>
      <c r="AF430" t="str">
        <f>IF(AD430="Monthly",Table3[[#This Row],[Assessed Term]]*12,IF(AD430="quarterly",Table3[[#This Row],[Assessed Term]]*4,IF(AD430="annually",Table3[[#This Row],[Assessed Term]]*1,IF(AD430="weekly",Table3[[#This Row],[Assessed Term]]*52,IF(AD430="semiannually",Table3[[#This Row],[Assessed Term]]*2," ")))))</f>
        <v xml:space="preserve"> </v>
      </c>
      <c r="AG430" s="69"/>
      <c r="AH430" s="69"/>
      <c r="AI430" s="73"/>
      <c r="AJ430" s="73"/>
      <c r="AK430" s="73"/>
      <c r="AL430" s="69"/>
      <c r="AM430" s="69"/>
      <c r="AN430" s="120"/>
      <c r="AO430" s="76" t="b">
        <f>IF(K430 = "Lease",+PV(AN430/(AF430/Table3[[#This Row],[Assessed Term]]),AF430,-AI430,0,IF(AE430="Beginning",1,0)))</f>
        <v>0</v>
      </c>
      <c r="AP430" s="69"/>
      <c r="AQ430" s="76">
        <f t="shared" si="44"/>
        <v>0</v>
      </c>
      <c r="AR430" s="72"/>
    </row>
    <row r="431" spans="1:44">
      <c r="A431" s="69"/>
      <c r="B431" s="70"/>
      <c r="C431" s="69"/>
      <c r="D431" s="69"/>
      <c r="E431" s="69"/>
      <c r="F431" s="69"/>
      <c r="G431" s="69"/>
      <c r="H431" s="69"/>
      <c r="I431" s="69"/>
      <c r="J431" s="69"/>
      <c r="K431" t="str">
        <f t="shared" si="40"/>
        <v>Not a Lease</v>
      </c>
      <c r="L431" s="69"/>
      <c r="M431" s="69"/>
      <c r="N431" s="69"/>
      <c r="O431" s="69"/>
      <c r="P431" s="69"/>
      <c r="Q431" s="69"/>
      <c r="R431" s="69"/>
      <c r="S431" s="69"/>
      <c r="T431" s="69"/>
      <c r="U431" s="69"/>
      <c r="V431" s="69"/>
      <c r="W431" s="69"/>
      <c r="X431" s="69"/>
      <c r="Y431" s="69"/>
      <c r="Z431">
        <f t="shared" si="43"/>
        <v>0</v>
      </c>
      <c r="AA431">
        <f t="shared" si="41"/>
        <v>0</v>
      </c>
      <c r="AB431">
        <f t="shared" si="42"/>
        <v>0</v>
      </c>
      <c r="AC431">
        <f>+IF(Table3[[#This Row],[Do Both Parties have to agree for extension to occur?]]="Yes",0,IF(AND(W431="Yes",Q431="Yes"),IF(R431=X431,R431,MAX(R431,X431)),IF(AND(W431="Yes",OR(Q431="No",Q431="")),X431,IF(AND(OR(W431="No",W431=""),Q431="Yes"),R431,0))))</f>
        <v>0</v>
      </c>
      <c r="AD431" s="69"/>
      <c r="AE431" s="69"/>
      <c r="AF431" t="str">
        <f>IF(AD431="Monthly",Table3[[#This Row],[Assessed Term]]*12,IF(AD431="quarterly",Table3[[#This Row],[Assessed Term]]*4,IF(AD431="annually",Table3[[#This Row],[Assessed Term]]*1,IF(AD431="weekly",Table3[[#This Row],[Assessed Term]]*52,IF(AD431="semiannually",Table3[[#This Row],[Assessed Term]]*2," ")))))</f>
        <v xml:space="preserve"> </v>
      </c>
      <c r="AG431" s="69"/>
      <c r="AH431" s="69"/>
      <c r="AI431" s="73"/>
      <c r="AJ431" s="73"/>
      <c r="AK431" s="73"/>
      <c r="AL431" s="69"/>
      <c r="AM431" s="69"/>
      <c r="AN431" s="120"/>
      <c r="AO431" s="76" t="b">
        <f>IF(K431 = "Lease",+PV(AN431/(AF431/Table3[[#This Row],[Assessed Term]]),AF431,-AI431,0,IF(AE431="Beginning",1,0)))</f>
        <v>0</v>
      </c>
      <c r="AP431" s="69"/>
      <c r="AQ431" s="76">
        <f t="shared" si="44"/>
        <v>0</v>
      </c>
      <c r="AR431" s="72"/>
    </row>
    <row r="432" spans="1:44">
      <c r="A432" s="69"/>
      <c r="B432" s="70"/>
      <c r="C432" s="69"/>
      <c r="D432" s="69"/>
      <c r="E432" s="69"/>
      <c r="F432" s="69"/>
      <c r="G432" s="69"/>
      <c r="H432" s="69"/>
      <c r="I432" s="69"/>
      <c r="J432" s="69"/>
      <c r="K432" t="str">
        <f t="shared" si="40"/>
        <v>Not a Lease</v>
      </c>
      <c r="L432" s="69"/>
      <c r="M432" s="69"/>
      <c r="N432" s="69"/>
      <c r="O432" s="69"/>
      <c r="P432" s="69"/>
      <c r="Q432" s="69"/>
      <c r="R432" s="69"/>
      <c r="S432" s="69"/>
      <c r="T432" s="69"/>
      <c r="U432" s="69"/>
      <c r="V432" s="69"/>
      <c r="W432" s="69"/>
      <c r="X432" s="69"/>
      <c r="Y432" s="69"/>
      <c r="Z432">
        <f t="shared" si="43"/>
        <v>0</v>
      </c>
      <c r="AA432">
        <f t="shared" si="41"/>
        <v>0</v>
      </c>
      <c r="AB432">
        <f t="shared" si="42"/>
        <v>0</v>
      </c>
      <c r="AC432">
        <f>+IF(Table3[[#This Row],[Do Both Parties have to agree for extension to occur?]]="Yes",0,IF(AND(W432="Yes",Q432="Yes"),IF(R432=X432,R432,MAX(R432,X432)),IF(AND(W432="Yes",OR(Q432="No",Q432="")),X432,IF(AND(OR(W432="No",W432=""),Q432="Yes"),R432,0))))</f>
        <v>0</v>
      </c>
      <c r="AD432" s="69"/>
      <c r="AE432" s="69"/>
      <c r="AF432" t="str">
        <f>IF(AD432="Monthly",Table3[[#This Row],[Assessed Term]]*12,IF(AD432="quarterly",Table3[[#This Row],[Assessed Term]]*4,IF(AD432="annually",Table3[[#This Row],[Assessed Term]]*1,IF(AD432="weekly",Table3[[#This Row],[Assessed Term]]*52,IF(AD432="semiannually",Table3[[#This Row],[Assessed Term]]*2," ")))))</f>
        <v xml:space="preserve"> </v>
      </c>
      <c r="AG432" s="69"/>
      <c r="AH432" s="69"/>
      <c r="AI432" s="73"/>
      <c r="AJ432" s="73"/>
      <c r="AK432" s="73"/>
      <c r="AL432" s="69"/>
      <c r="AM432" s="69"/>
      <c r="AN432" s="120"/>
      <c r="AO432" s="76" t="b">
        <f>IF(K432 = "Lease",+PV(AN432/(AF432/Table3[[#This Row],[Assessed Term]]),AF432,-AI432,0,IF(AE432="Beginning",1,0)))</f>
        <v>0</v>
      </c>
      <c r="AP432" s="69"/>
      <c r="AQ432" s="76">
        <f t="shared" si="44"/>
        <v>0</v>
      </c>
      <c r="AR432" s="72"/>
    </row>
    <row r="433" spans="1:44">
      <c r="A433" s="69"/>
      <c r="B433" s="70"/>
      <c r="C433" s="69"/>
      <c r="D433" s="69"/>
      <c r="E433" s="69"/>
      <c r="F433" s="69"/>
      <c r="G433" s="69"/>
      <c r="H433" s="69"/>
      <c r="I433" s="69"/>
      <c r="J433" s="69"/>
      <c r="K433" t="str">
        <f t="shared" si="40"/>
        <v>Not a Lease</v>
      </c>
      <c r="L433" s="69"/>
      <c r="M433" s="69"/>
      <c r="N433" s="69"/>
      <c r="O433" s="69"/>
      <c r="P433" s="69"/>
      <c r="Q433" s="69"/>
      <c r="R433" s="69"/>
      <c r="S433" s="69"/>
      <c r="T433" s="69"/>
      <c r="U433" s="69"/>
      <c r="V433" s="69"/>
      <c r="W433" s="69"/>
      <c r="X433" s="69"/>
      <c r="Y433" s="69"/>
      <c r="Z433">
        <f t="shared" si="43"/>
        <v>0</v>
      </c>
      <c r="AA433">
        <f t="shared" si="41"/>
        <v>0</v>
      </c>
      <c r="AB433">
        <f t="shared" si="42"/>
        <v>0</v>
      </c>
      <c r="AC433">
        <f>+IF(Table3[[#This Row],[Do Both Parties have to agree for extension to occur?]]="Yes",0,IF(AND(W433="Yes",Q433="Yes"),IF(R433=X433,R433,MAX(R433,X433)),IF(AND(W433="Yes",OR(Q433="No",Q433="")),X433,IF(AND(OR(W433="No",W433=""),Q433="Yes"),R433,0))))</f>
        <v>0</v>
      </c>
      <c r="AD433" s="69"/>
      <c r="AE433" s="69"/>
      <c r="AF433" t="str">
        <f>IF(AD433="Monthly",Table3[[#This Row],[Assessed Term]]*12,IF(AD433="quarterly",Table3[[#This Row],[Assessed Term]]*4,IF(AD433="annually",Table3[[#This Row],[Assessed Term]]*1,IF(AD433="weekly",Table3[[#This Row],[Assessed Term]]*52,IF(AD433="semiannually",Table3[[#This Row],[Assessed Term]]*2," ")))))</f>
        <v xml:space="preserve"> </v>
      </c>
      <c r="AG433" s="69"/>
      <c r="AH433" s="69"/>
      <c r="AI433" s="73"/>
      <c r="AJ433" s="73"/>
      <c r="AK433" s="73"/>
      <c r="AL433" s="69"/>
      <c r="AM433" s="69"/>
      <c r="AN433" s="120"/>
      <c r="AO433" s="76" t="b">
        <f>IF(K433 = "Lease",+PV(AN433/(AF433/Table3[[#This Row],[Assessed Term]]),AF433,-AI433,0,IF(AE433="Beginning",1,0)))</f>
        <v>0</v>
      </c>
      <c r="AP433" s="69"/>
      <c r="AQ433" s="76">
        <f t="shared" si="44"/>
        <v>0</v>
      </c>
      <c r="AR433" s="72"/>
    </row>
    <row r="434" spans="1:44">
      <c r="A434" s="69"/>
      <c r="B434" s="70"/>
      <c r="C434" s="69"/>
      <c r="D434" s="69"/>
      <c r="E434" s="69"/>
      <c r="F434" s="69"/>
      <c r="G434" s="69"/>
      <c r="H434" s="69"/>
      <c r="I434" s="69"/>
      <c r="J434" s="69"/>
      <c r="K434" t="str">
        <f t="shared" si="40"/>
        <v>Not a Lease</v>
      </c>
      <c r="L434" s="69"/>
      <c r="M434" s="69"/>
      <c r="N434" s="69"/>
      <c r="O434" s="69"/>
      <c r="P434" s="69"/>
      <c r="Q434" s="69"/>
      <c r="R434" s="69"/>
      <c r="S434" s="69"/>
      <c r="T434" s="69"/>
      <c r="U434" s="69"/>
      <c r="V434" s="69"/>
      <c r="W434" s="69"/>
      <c r="X434" s="69"/>
      <c r="Y434" s="69"/>
      <c r="Z434">
        <f t="shared" si="43"/>
        <v>0</v>
      </c>
      <c r="AA434">
        <f t="shared" si="41"/>
        <v>0</v>
      </c>
      <c r="AB434">
        <f t="shared" si="42"/>
        <v>0</v>
      </c>
      <c r="AC434">
        <f>+IF(Table3[[#This Row],[Do Both Parties have to agree for extension to occur?]]="Yes",0,IF(AND(W434="Yes",Q434="Yes"),IF(R434=X434,R434,MAX(R434,X434)),IF(AND(W434="Yes",OR(Q434="No",Q434="")),X434,IF(AND(OR(W434="No",W434=""),Q434="Yes"),R434,0))))</f>
        <v>0</v>
      </c>
      <c r="AD434" s="69"/>
      <c r="AE434" s="69"/>
      <c r="AF434" t="str">
        <f>IF(AD434="Monthly",Table3[[#This Row],[Assessed Term]]*12,IF(AD434="quarterly",Table3[[#This Row],[Assessed Term]]*4,IF(AD434="annually",Table3[[#This Row],[Assessed Term]]*1,IF(AD434="weekly",Table3[[#This Row],[Assessed Term]]*52,IF(AD434="semiannually",Table3[[#This Row],[Assessed Term]]*2," ")))))</f>
        <v xml:space="preserve"> </v>
      </c>
      <c r="AG434" s="69"/>
      <c r="AH434" s="69"/>
      <c r="AI434" s="73"/>
      <c r="AJ434" s="73"/>
      <c r="AK434" s="73"/>
      <c r="AL434" s="69"/>
      <c r="AM434" s="69"/>
      <c r="AN434" s="120"/>
      <c r="AO434" s="76" t="b">
        <f>IF(K434 = "Lease",+PV(AN434/(AF434/Table3[[#This Row],[Assessed Term]]),AF434,-AI434,0,IF(AE434="Beginning",1,0)))</f>
        <v>0</v>
      </c>
      <c r="AP434" s="69"/>
      <c r="AQ434" s="76">
        <f t="shared" si="44"/>
        <v>0</v>
      </c>
      <c r="AR434" s="72"/>
    </row>
    <row r="435" spans="1:44">
      <c r="A435" s="69"/>
      <c r="B435" s="70"/>
      <c r="C435" s="69"/>
      <c r="D435" s="69"/>
      <c r="E435" s="69"/>
      <c r="F435" s="69"/>
      <c r="G435" s="69"/>
      <c r="H435" s="69"/>
      <c r="I435" s="69"/>
      <c r="J435" s="69"/>
      <c r="K435" t="str">
        <f t="shared" si="40"/>
        <v>Not a Lease</v>
      </c>
      <c r="L435" s="69"/>
      <c r="M435" s="69"/>
      <c r="N435" s="69"/>
      <c r="O435" s="69"/>
      <c r="P435" s="69"/>
      <c r="Q435" s="69"/>
      <c r="R435" s="69"/>
      <c r="S435" s="69"/>
      <c r="T435" s="69"/>
      <c r="U435" s="69"/>
      <c r="V435" s="69"/>
      <c r="W435" s="69"/>
      <c r="X435" s="69"/>
      <c r="Y435" s="69"/>
      <c r="Z435">
        <f t="shared" si="43"/>
        <v>0</v>
      </c>
      <c r="AA435">
        <f t="shared" si="41"/>
        <v>0</v>
      </c>
      <c r="AB435">
        <f t="shared" si="42"/>
        <v>0</v>
      </c>
      <c r="AC435">
        <f>+IF(Table3[[#This Row],[Do Both Parties have to agree for extension to occur?]]="Yes",0,IF(AND(W435="Yes",Q435="Yes"),IF(R435=X435,R435,MAX(R435,X435)),IF(AND(W435="Yes",OR(Q435="No",Q435="")),X435,IF(AND(OR(W435="No",W435=""),Q435="Yes"),R435,0))))</f>
        <v>0</v>
      </c>
      <c r="AD435" s="69"/>
      <c r="AE435" s="69"/>
      <c r="AF435" t="str">
        <f>IF(AD435="Monthly",Table3[[#This Row],[Assessed Term]]*12,IF(AD435="quarterly",Table3[[#This Row],[Assessed Term]]*4,IF(AD435="annually",Table3[[#This Row],[Assessed Term]]*1,IF(AD435="weekly",Table3[[#This Row],[Assessed Term]]*52,IF(AD435="semiannually",Table3[[#This Row],[Assessed Term]]*2," ")))))</f>
        <v xml:space="preserve"> </v>
      </c>
      <c r="AG435" s="69"/>
      <c r="AH435" s="69"/>
      <c r="AI435" s="73"/>
      <c r="AJ435" s="73"/>
      <c r="AK435" s="73"/>
      <c r="AL435" s="69"/>
      <c r="AM435" s="69"/>
      <c r="AN435" s="120"/>
      <c r="AO435" s="76" t="b">
        <f>IF(K435 = "Lease",+PV(AN435/(AF435/Table3[[#This Row],[Assessed Term]]),AF435,-AI435,0,IF(AE435="Beginning",1,0)))</f>
        <v>0</v>
      </c>
      <c r="AP435" s="69"/>
      <c r="AQ435" s="76">
        <f t="shared" si="44"/>
        <v>0</v>
      </c>
      <c r="AR435" s="72"/>
    </row>
    <row r="436" spans="1:44">
      <c r="A436" s="69"/>
      <c r="B436" s="70"/>
      <c r="C436" s="69"/>
      <c r="D436" s="69"/>
      <c r="E436" s="69"/>
      <c r="F436" s="69"/>
      <c r="G436" s="69"/>
      <c r="H436" s="69"/>
      <c r="I436" s="69"/>
      <c r="J436" s="69"/>
      <c r="K436" t="str">
        <f t="shared" si="40"/>
        <v>Not a Lease</v>
      </c>
      <c r="L436" s="69"/>
      <c r="M436" s="69"/>
      <c r="N436" s="69"/>
      <c r="O436" s="69"/>
      <c r="P436" s="69"/>
      <c r="Q436" s="69"/>
      <c r="R436" s="69"/>
      <c r="S436" s="69"/>
      <c r="T436" s="69"/>
      <c r="U436" s="69"/>
      <c r="V436" s="69"/>
      <c r="W436" s="69"/>
      <c r="X436" s="69"/>
      <c r="Y436" s="69"/>
      <c r="Z436">
        <f t="shared" si="43"/>
        <v>0</v>
      </c>
      <c r="AA436">
        <f t="shared" si="41"/>
        <v>0</v>
      </c>
      <c r="AB436">
        <f t="shared" si="42"/>
        <v>0</v>
      </c>
      <c r="AC436">
        <f>+IF(Table3[[#This Row],[Do Both Parties have to agree for extension to occur?]]="Yes",0,IF(AND(W436="Yes",Q436="Yes"),IF(R436=X436,R436,MAX(R436,X436)),IF(AND(W436="Yes",OR(Q436="No",Q436="")),X436,IF(AND(OR(W436="No",W436=""),Q436="Yes"),R436,0))))</f>
        <v>0</v>
      </c>
      <c r="AD436" s="69"/>
      <c r="AE436" s="69"/>
      <c r="AF436" t="str">
        <f>IF(AD436="Monthly",Table3[[#This Row],[Assessed Term]]*12,IF(AD436="quarterly",Table3[[#This Row],[Assessed Term]]*4,IF(AD436="annually",Table3[[#This Row],[Assessed Term]]*1,IF(AD436="weekly",Table3[[#This Row],[Assessed Term]]*52,IF(AD436="semiannually",Table3[[#This Row],[Assessed Term]]*2," ")))))</f>
        <v xml:space="preserve"> </v>
      </c>
      <c r="AG436" s="69"/>
      <c r="AH436" s="69"/>
      <c r="AI436" s="73"/>
      <c r="AJ436" s="73"/>
      <c r="AK436" s="73"/>
      <c r="AL436" s="69"/>
      <c r="AM436" s="69"/>
      <c r="AN436" s="120"/>
      <c r="AO436" s="76" t="b">
        <f>IF(K436 = "Lease",+PV(AN436/(AF436/Table3[[#This Row],[Assessed Term]]),AF436,-AI436,0,IF(AE436="Beginning",1,0)))</f>
        <v>0</v>
      </c>
      <c r="AP436" s="69"/>
      <c r="AQ436" s="76">
        <f t="shared" si="44"/>
        <v>0</v>
      </c>
      <c r="AR436" s="72"/>
    </row>
    <row r="437" spans="1:44">
      <c r="A437" s="69"/>
      <c r="B437" s="70"/>
      <c r="C437" s="69"/>
      <c r="D437" s="69"/>
      <c r="E437" s="69"/>
      <c r="F437" s="69"/>
      <c r="G437" s="69"/>
      <c r="H437" s="69"/>
      <c r="I437" s="69"/>
      <c r="J437" s="69"/>
      <c r="K437" t="str">
        <f t="shared" si="40"/>
        <v>Not a Lease</v>
      </c>
      <c r="L437" s="69"/>
      <c r="M437" s="69"/>
      <c r="N437" s="69"/>
      <c r="O437" s="69"/>
      <c r="P437" s="69"/>
      <c r="Q437" s="69"/>
      <c r="R437" s="69"/>
      <c r="S437" s="69"/>
      <c r="T437" s="69"/>
      <c r="U437" s="69"/>
      <c r="V437" s="69"/>
      <c r="W437" s="69"/>
      <c r="X437" s="69"/>
      <c r="Y437" s="69"/>
      <c r="Z437">
        <f t="shared" si="43"/>
        <v>0</v>
      </c>
      <c r="AA437">
        <f t="shared" si="41"/>
        <v>0</v>
      </c>
      <c r="AB437">
        <f t="shared" si="42"/>
        <v>0</v>
      </c>
      <c r="AC437">
        <f>+IF(Table3[[#This Row],[Do Both Parties have to agree for extension to occur?]]="Yes",0,IF(AND(W437="Yes",Q437="Yes"),IF(R437=X437,R437,MAX(R437,X437)),IF(AND(W437="Yes",OR(Q437="No",Q437="")),X437,IF(AND(OR(W437="No",W437=""),Q437="Yes"),R437,0))))</f>
        <v>0</v>
      </c>
      <c r="AD437" s="69"/>
      <c r="AE437" s="69"/>
      <c r="AF437" t="str">
        <f>IF(AD437="Monthly",Table3[[#This Row],[Assessed Term]]*12,IF(AD437="quarterly",Table3[[#This Row],[Assessed Term]]*4,IF(AD437="annually",Table3[[#This Row],[Assessed Term]]*1,IF(AD437="weekly",Table3[[#This Row],[Assessed Term]]*52,IF(AD437="semiannually",Table3[[#This Row],[Assessed Term]]*2," ")))))</f>
        <v xml:space="preserve"> </v>
      </c>
      <c r="AG437" s="69"/>
      <c r="AH437" s="69"/>
      <c r="AI437" s="73"/>
      <c r="AJ437" s="73"/>
      <c r="AK437" s="73"/>
      <c r="AL437" s="69"/>
      <c r="AM437" s="69"/>
      <c r="AN437" s="120"/>
      <c r="AO437" s="76" t="b">
        <f>IF(K437 = "Lease",+PV(AN437/(AF437/Table3[[#This Row],[Assessed Term]]),AF437,-AI437,0,IF(AE437="Beginning",1,0)))</f>
        <v>0</v>
      </c>
      <c r="AP437" s="69"/>
      <c r="AQ437" s="76">
        <f t="shared" si="44"/>
        <v>0</v>
      </c>
      <c r="AR437" s="72"/>
    </row>
    <row r="438" spans="1:44">
      <c r="A438" s="69"/>
      <c r="B438" s="70"/>
      <c r="C438" s="69"/>
      <c r="D438" s="69"/>
      <c r="E438" s="69"/>
      <c r="F438" s="69"/>
      <c r="G438" s="69"/>
      <c r="H438" s="69"/>
      <c r="I438" s="69"/>
      <c r="J438" s="69"/>
      <c r="K438" t="str">
        <f t="shared" si="40"/>
        <v>Not a Lease</v>
      </c>
      <c r="L438" s="69"/>
      <c r="M438" s="69"/>
      <c r="N438" s="69"/>
      <c r="O438" s="69"/>
      <c r="P438" s="69"/>
      <c r="Q438" s="69"/>
      <c r="R438" s="69"/>
      <c r="S438" s="69"/>
      <c r="T438" s="69"/>
      <c r="U438" s="69"/>
      <c r="V438" s="69"/>
      <c r="W438" s="69"/>
      <c r="X438" s="69"/>
      <c r="Y438" s="69"/>
      <c r="Z438">
        <f t="shared" si="43"/>
        <v>0</v>
      </c>
      <c r="AA438">
        <f t="shared" si="41"/>
        <v>0</v>
      </c>
      <c r="AB438">
        <f t="shared" si="42"/>
        <v>0</v>
      </c>
      <c r="AC438">
        <f>+IF(Table3[[#This Row],[Do Both Parties have to agree for extension to occur?]]="Yes",0,IF(AND(W438="Yes",Q438="Yes"),IF(R438=X438,R438,MAX(R438,X438)),IF(AND(W438="Yes",OR(Q438="No",Q438="")),X438,IF(AND(OR(W438="No",W438=""),Q438="Yes"),R438,0))))</f>
        <v>0</v>
      </c>
      <c r="AD438" s="69"/>
      <c r="AE438" s="69"/>
      <c r="AF438" t="str">
        <f>IF(AD438="Monthly",Table3[[#This Row],[Assessed Term]]*12,IF(AD438="quarterly",Table3[[#This Row],[Assessed Term]]*4,IF(AD438="annually",Table3[[#This Row],[Assessed Term]]*1,IF(AD438="weekly",Table3[[#This Row],[Assessed Term]]*52,IF(AD438="semiannually",Table3[[#This Row],[Assessed Term]]*2," ")))))</f>
        <v xml:space="preserve"> </v>
      </c>
      <c r="AG438" s="69"/>
      <c r="AH438" s="69"/>
      <c r="AI438" s="73"/>
      <c r="AJ438" s="73"/>
      <c r="AK438" s="73"/>
      <c r="AL438" s="69"/>
      <c r="AM438" s="69"/>
      <c r="AN438" s="120"/>
      <c r="AO438" s="76" t="b">
        <f>IF(K438 = "Lease",+PV(AN438/(AF438/Table3[[#This Row],[Assessed Term]]),AF438,-AI438,0,IF(AE438="Beginning",1,0)))</f>
        <v>0</v>
      </c>
      <c r="AP438" s="69"/>
      <c r="AQ438" s="76">
        <f t="shared" si="44"/>
        <v>0</v>
      </c>
      <c r="AR438" s="72"/>
    </row>
    <row r="439" spans="1:44">
      <c r="A439" s="69"/>
      <c r="B439" s="70"/>
      <c r="C439" s="69"/>
      <c r="D439" s="69"/>
      <c r="E439" s="69"/>
      <c r="F439" s="69"/>
      <c r="G439" s="69"/>
      <c r="H439" s="69"/>
      <c r="I439" s="69"/>
      <c r="J439" s="69"/>
      <c r="K439" t="str">
        <f t="shared" si="40"/>
        <v>Not a Lease</v>
      </c>
      <c r="L439" s="69"/>
      <c r="M439" s="69"/>
      <c r="N439" s="69"/>
      <c r="O439" s="69"/>
      <c r="P439" s="69"/>
      <c r="Q439" s="69"/>
      <c r="R439" s="69"/>
      <c r="S439" s="69"/>
      <c r="T439" s="69"/>
      <c r="U439" s="69"/>
      <c r="V439" s="69"/>
      <c r="W439" s="69"/>
      <c r="X439" s="69"/>
      <c r="Y439" s="69"/>
      <c r="Z439">
        <f t="shared" si="43"/>
        <v>0</v>
      </c>
      <c r="AA439">
        <f t="shared" si="41"/>
        <v>0</v>
      </c>
      <c r="AB439">
        <f t="shared" si="42"/>
        <v>0</v>
      </c>
      <c r="AC439">
        <f>+IF(Table3[[#This Row],[Do Both Parties have to agree for extension to occur?]]="Yes",0,IF(AND(W439="Yes",Q439="Yes"),IF(R439=X439,R439,MAX(R439,X439)),IF(AND(W439="Yes",OR(Q439="No",Q439="")),X439,IF(AND(OR(W439="No",W439=""),Q439="Yes"),R439,0))))</f>
        <v>0</v>
      </c>
      <c r="AD439" s="69"/>
      <c r="AE439" s="69"/>
      <c r="AF439" t="str">
        <f>IF(AD439="Monthly",Table3[[#This Row],[Assessed Term]]*12,IF(AD439="quarterly",Table3[[#This Row],[Assessed Term]]*4,IF(AD439="annually",Table3[[#This Row],[Assessed Term]]*1,IF(AD439="weekly",Table3[[#This Row],[Assessed Term]]*52,IF(AD439="semiannually",Table3[[#This Row],[Assessed Term]]*2," ")))))</f>
        <v xml:space="preserve"> </v>
      </c>
      <c r="AG439" s="69"/>
      <c r="AH439" s="69"/>
      <c r="AI439" s="73"/>
      <c r="AJ439" s="73"/>
      <c r="AK439" s="73"/>
      <c r="AL439" s="69"/>
      <c r="AM439" s="69"/>
      <c r="AN439" s="120"/>
      <c r="AO439" s="76" t="b">
        <f>IF(K439 = "Lease",+PV(AN439/(AF439/Table3[[#This Row],[Assessed Term]]),AF439,-AI439,0,IF(AE439="Beginning",1,0)))</f>
        <v>0</v>
      </c>
      <c r="AP439" s="69"/>
      <c r="AQ439" s="76">
        <f t="shared" si="44"/>
        <v>0</v>
      </c>
      <c r="AR439" s="72"/>
    </row>
    <row r="440" spans="1:44">
      <c r="A440" s="69"/>
      <c r="B440" s="70"/>
      <c r="C440" s="69"/>
      <c r="D440" s="69"/>
      <c r="E440" s="69"/>
      <c r="F440" s="69"/>
      <c r="G440" s="69"/>
      <c r="H440" s="69"/>
      <c r="I440" s="69"/>
      <c r="J440" s="69"/>
      <c r="K440" t="str">
        <f t="shared" si="40"/>
        <v>Not a Lease</v>
      </c>
      <c r="L440" s="69"/>
      <c r="M440" s="69"/>
      <c r="N440" s="69"/>
      <c r="O440" s="69"/>
      <c r="P440" s="69"/>
      <c r="Q440" s="69"/>
      <c r="R440" s="69"/>
      <c r="S440" s="69"/>
      <c r="T440" s="69"/>
      <c r="U440" s="69"/>
      <c r="V440" s="69"/>
      <c r="W440" s="69"/>
      <c r="X440" s="69"/>
      <c r="Y440" s="69"/>
      <c r="Z440">
        <f t="shared" si="43"/>
        <v>0</v>
      </c>
      <c r="AA440">
        <f t="shared" si="41"/>
        <v>0</v>
      </c>
      <c r="AB440">
        <f t="shared" si="42"/>
        <v>0</v>
      </c>
      <c r="AC440">
        <f>+IF(Table3[[#This Row],[Do Both Parties have to agree for extension to occur?]]="Yes",0,IF(AND(W440="Yes",Q440="Yes"),IF(R440=X440,R440,MAX(R440,X440)),IF(AND(W440="Yes",OR(Q440="No",Q440="")),X440,IF(AND(OR(W440="No",W440=""),Q440="Yes"),R440,0))))</f>
        <v>0</v>
      </c>
      <c r="AD440" s="69"/>
      <c r="AE440" s="69"/>
      <c r="AF440" t="str">
        <f>IF(AD440="Monthly",Table3[[#This Row],[Assessed Term]]*12,IF(AD440="quarterly",Table3[[#This Row],[Assessed Term]]*4,IF(AD440="annually",Table3[[#This Row],[Assessed Term]]*1,IF(AD440="weekly",Table3[[#This Row],[Assessed Term]]*52,IF(AD440="semiannually",Table3[[#This Row],[Assessed Term]]*2," ")))))</f>
        <v xml:space="preserve"> </v>
      </c>
      <c r="AG440" s="69"/>
      <c r="AH440" s="69"/>
      <c r="AI440" s="73"/>
      <c r="AJ440" s="73"/>
      <c r="AK440" s="73"/>
      <c r="AL440" s="69"/>
      <c r="AM440" s="69"/>
      <c r="AN440" s="120"/>
      <c r="AO440" s="76" t="b">
        <f>IF(K440 = "Lease",+PV(AN440/(AF440/Table3[[#This Row],[Assessed Term]]),AF440,-AI440,0,IF(AE440="Beginning",1,0)))</f>
        <v>0</v>
      </c>
      <c r="AP440" s="69"/>
      <c r="AQ440" s="76">
        <f t="shared" si="44"/>
        <v>0</v>
      </c>
      <c r="AR440" s="72"/>
    </row>
    <row r="441" spans="1:44">
      <c r="A441" s="69"/>
      <c r="B441" s="70"/>
      <c r="C441" s="69"/>
      <c r="D441" s="69"/>
      <c r="E441" s="69"/>
      <c r="F441" s="69"/>
      <c r="G441" s="69"/>
      <c r="H441" s="69"/>
      <c r="I441" s="69"/>
      <c r="J441" s="69"/>
      <c r="K441" t="str">
        <f t="shared" si="40"/>
        <v>Not a Lease</v>
      </c>
      <c r="L441" s="69"/>
      <c r="M441" s="69"/>
      <c r="N441" s="69"/>
      <c r="O441" s="69"/>
      <c r="P441" s="69"/>
      <c r="Q441" s="69"/>
      <c r="R441" s="69"/>
      <c r="S441" s="69"/>
      <c r="T441" s="69"/>
      <c r="U441" s="69"/>
      <c r="V441" s="69"/>
      <c r="W441" s="69"/>
      <c r="X441" s="69"/>
      <c r="Y441" s="69"/>
      <c r="Z441">
        <f t="shared" si="43"/>
        <v>0</v>
      </c>
      <c r="AA441">
        <f t="shared" si="41"/>
        <v>0</v>
      </c>
      <c r="AB441">
        <f t="shared" si="42"/>
        <v>0</v>
      </c>
      <c r="AC441">
        <f>+IF(Table3[[#This Row],[Do Both Parties have to agree for extension to occur?]]="Yes",0,IF(AND(W441="Yes",Q441="Yes"),IF(R441=X441,R441,MAX(R441,X441)),IF(AND(W441="Yes",OR(Q441="No",Q441="")),X441,IF(AND(OR(W441="No",W441=""),Q441="Yes"),R441,0))))</f>
        <v>0</v>
      </c>
      <c r="AD441" s="69"/>
      <c r="AE441" s="69"/>
      <c r="AF441" t="str">
        <f>IF(AD441="Monthly",Table3[[#This Row],[Assessed Term]]*12,IF(AD441="quarterly",Table3[[#This Row],[Assessed Term]]*4,IF(AD441="annually",Table3[[#This Row],[Assessed Term]]*1,IF(AD441="weekly",Table3[[#This Row],[Assessed Term]]*52,IF(AD441="semiannually",Table3[[#This Row],[Assessed Term]]*2," ")))))</f>
        <v xml:space="preserve"> </v>
      </c>
      <c r="AG441" s="69"/>
      <c r="AH441" s="69"/>
      <c r="AI441" s="73"/>
      <c r="AJ441" s="73"/>
      <c r="AK441" s="73"/>
      <c r="AL441" s="69"/>
      <c r="AM441" s="69"/>
      <c r="AN441" s="120"/>
      <c r="AO441" s="76" t="b">
        <f>IF(K441 = "Lease",+PV(AN441/(AF441/Table3[[#This Row],[Assessed Term]]),AF441,-AI441,0,IF(AE441="Beginning",1,0)))</f>
        <v>0</v>
      </c>
      <c r="AP441" s="69"/>
      <c r="AQ441" s="76">
        <f t="shared" si="44"/>
        <v>0</v>
      </c>
      <c r="AR441" s="72"/>
    </row>
    <row r="442" spans="1:44">
      <c r="A442" s="69"/>
      <c r="B442" s="70"/>
      <c r="C442" s="69"/>
      <c r="D442" s="69"/>
      <c r="E442" s="69"/>
      <c r="F442" s="69"/>
      <c r="G442" s="69"/>
      <c r="H442" s="69"/>
      <c r="I442" s="69"/>
      <c r="J442" s="69"/>
      <c r="K442" t="str">
        <f t="shared" si="40"/>
        <v>Not a Lease</v>
      </c>
      <c r="L442" s="69"/>
      <c r="M442" s="69"/>
      <c r="N442" s="69"/>
      <c r="O442" s="69"/>
      <c r="P442" s="69"/>
      <c r="Q442" s="69"/>
      <c r="R442" s="69"/>
      <c r="S442" s="69"/>
      <c r="T442" s="69"/>
      <c r="U442" s="69"/>
      <c r="V442" s="69"/>
      <c r="W442" s="69"/>
      <c r="X442" s="69"/>
      <c r="Y442" s="69"/>
      <c r="Z442">
        <f t="shared" si="43"/>
        <v>0</v>
      </c>
      <c r="AA442">
        <f t="shared" si="41"/>
        <v>0</v>
      </c>
      <c r="AB442">
        <f t="shared" si="42"/>
        <v>0</v>
      </c>
      <c r="AC442">
        <f>+IF(Table3[[#This Row],[Do Both Parties have to agree for extension to occur?]]="Yes",0,IF(AND(W442="Yes",Q442="Yes"),IF(R442=X442,R442,MAX(R442,X442)),IF(AND(W442="Yes",OR(Q442="No",Q442="")),X442,IF(AND(OR(W442="No",W442=""),Q442="Yes"),R442,0))))</f>
        <v>0</v>
      </c>
      <c r="AD442" s="69"/>
      <c r="AE442" s="69"/>
      <c r="AF442" t="str">
        <f>IF(AD442="Monthly",Table3[[#This Row],[Assessed Term]]*12,IF(AD442="quarterly",Table3[[#This Row],[Assessed Term]]*4,IF(AD442="annually",Table3[[#This Row],[Assessed Term]]*1,IF(AD442="weekly",Table3[[#This Row],[Assessed Term]]*52,IF(AD442="semiannually",Table3[[#This Row],[Assessed Term]]*2," ")))))</f>
        <v xml:space="preserve"> </v>
      </c>
      <c r="AG442" s="69"/>
      <c r="AH442" s="69"/>
      <c r="AI442" s="73"/>
      <c r="AJ442" s="73"/>
      <c r="AK442" s="73"/>
      <c r="AL442" s="69"/>
      <c r="AM442" s="69"/>
      <c r="AN442" s="120"/>
      <c r="AO442" s="76" t="b">
        <f>IF(K442 = "Lease",+PV(AN442/(AF442/Table3[[#This Row],[Assessed Term]]),AF442,-AI442,0,IF(AE442="Beginning",1,0)))</f>
        <v>0</v>
      </c>
      <c r="AP442" s="69"/>
      <c r="AQ442" s="76">
        <f t="shared" si="44"/>
        <v>0</v>
      </c>
      <c r="AR442" s="72"/>
    </row>
    <row r="443" spans="1:44">
      <c r="A443" s="69"/>
      <c r="B443" s="70"/>
      <c r="C443" s="69"/>
      <c r="D443" s="69"/>
      <c r="E443" s="69"/>
      <c r="F443" s="69"/>
      <c r="G443" s="69"/>
      <c r="H443" s="69"/>
      <c r="I443" s="69"/>
      <c r="J443" s="69"/>
      <c r="K443" t="str">
        <f t="shared" si="40"/>
        <v>Not a Lease</v>
      </c>
      <c r="L443" s="69"/>
      <c r="M443" s="69"/>
      <c r="N443" s="69"/>
      <c r="O443" s="69"/>
      <c r="P443" s="69"/>
      <c r="Q443" s="69"/>
      <c r="R443" s="69"/>
      <c r="S443" s="69"/>
      <c r="T443" s="69"/>
      <c r="U443" s="69"/>
      <c r="V443" s="69"/>
      <c r="W443" s="69"/>
      <c r="X443" s="69"/>
      <c r="Y443" s="69"/>
      <c r="Z443">
        <f t="shared" si="43"/>
        <v>0</v>
      </c>
      <c r="AA443">
        <f t="shared" si="41"/>
        <v>0</v>
      </c>
      <c r="AB443">
        <f t="shared" si="42"/>
        <v>0</v>
      </c>
      <c r="AC443">
        <f>+IF(Table3[[#This Row],[Do Both Parties have to agree for extension to occur?]]="Yes",0,IF(AND(W443="Yes",Q443="Yes"),IF(R443=X443,R443,MAX(R443,X443)),IF(AND(W443="Yes",OR(Q443="No",Q443="")),X443,IF(AND(OR(W443="No",W443=""),Q443="Yes"),R443,0))))</f>
        <v>0</v>
      </c>
      <c r="AD443" s="69"/>
      <c r="AE443" s="69"/>
      <c r="AF443" t="str">
        <f>IF(AD443="Monthly",Table3[[#This Row],[Assessed Term]]*12,IF(AD443="quarterly",Table3[[#This Row],[Assessed Term]]*4,IF(AD443="annually",Table3[[#This Row],[Assessed Term]]*1,IF(AD443="weekly",Table3[[#This Row],[Assessed Term]]*52,IF(AD443="semiannually",Table3[[#This Row],[Assessed Term]]*2," ")))))</f>
        <v xml:space="preserve"> </v>
      </c>
      <c r="AG443" s="69"/>
      <c r="AH443" s="69"/>
      <c r="AI443" s="73"/>
      <c r="AJ443" s="73"/>
      <c r="AK443" s="73"/>
      <c r="AL443" s="69"/>
      <c r="AM443" s="69"/>
      <c r="AN443" s="120"/>
      <c r="AO443" s="76" t="b">
        <f>IF(K443 = "Lease",+PV(AN443/(AF443/Table3[[#This Row],[Assessed Term]]),AF443,-AI443,0,IF(AE443="Beginning",1,0)))</f>
        <v>0</v>
      </c>
      <c r="AP443" s="69"/>
      <c r="AQ443" s="76">
        <f t="shared" si="44"/>
        <v>0</v>
      </c>
      <c r="AR443" s="72"/>
    </row>
    <row r="444" spans="1:44">
      <c r="A444" s="69"/>
      <c r="B444" s="70"/>
      <c r="C444" s="69"/>
      <c r="D444" s="69"/>
      <c r="E444" s="69"/>
      <c r="F444" s="69"/>
      <c r="G444" s="69"/>
      <c r="H444" s="69"/>
      <c r="I444" s="69"/>
      <c r="J444" s="69"/>
      <c r="K444" t="str">
        <f t="shared" si="40"/>
        <v>Not a Lease</v>
      </c>
      <c r="L444" s="69"/>
      <c r="M444" s="69"/>
      <c r="N444" s="69"/>
      <c r="O444" s="69"/>
      <c r="P444" s="69"/>
      <c r="Q444" s="69"/>
      <c r="R444" s="69"/>
      <c r="S444" s="69"/>
      <c r="T444" s="69"/>
      <c r="U444" s="69"/>
      <c r="V444" s="69"/>
      <c r="W444" s="69"/>
      <c r="X444" s="69"/>
      <c r="Y444" s="69"/>
      <c r="Z444">
        <f t="shared" si="43"/>
        <v>0</v>
      </c>
      <c r="AA444">
        <f t="shared" si="41"/>
        <v>0</v>
      </c>
      <c r="AB444">
        <f t="shared" si="42"/>
        <v>0</v>
      </c>
      <c r="AC444">
        <f>+IF(Table3[[#This Row],[Do Both Parties have to agree for extension to occur?]]="Yes",0,IF(AND(W444="Yes",Q444="Yes"),IF(R444=X444,R444,MAX(R444,X444)),IF(AND(W444="Yes",OR(Q444="No",Q444="")),X444,IF(AND(OR(W444="No",W444=""),Q444="Yes"),R444,0))))</f>
        <v>0</v>
      </c>
      <c r="AD444" s="69"/>
      <c r="AE444" s="69"/>
      <c r="AF444" t="str">
        <f>IF(AD444="Monthly",Table3[[#This Row],[Assessed Term]]*12,IF(AD444="quarterly",Table3[[#This Row],[Assessed Term]]*4,IF(AD444="annually",Table3[[#This Row],[Assessed Term]]*1,IF(AD444="weekly",Table3[[#This Row],[Assessed Term]]*52,IF(AD444="semiannually",Table3[[#This Row],[Assessed Term]]*2," ")))))</f>
        <v xml:space="preserve"> </v>
      </c>
      <c r="AG444" s="69"/>
      <c r="AH444" s="69"/>
      <c r="AI444" s="73"/>
      <c r="AJ444" s="73"/>
      <c r="AK444" s="73"/>
      <c r="AL444" s="69"/>
      <c r="AM444" s="69"/>
      <c r="AN444" s="120"/>
      <c r="AO444" s="76" t="b">
        <f>IF(K444 = "Lease",+PV(AN444/(AF444/Table3[[#This Row],[Assessed Term]]),AF444,-AI444,0,IF(AE444="Beginning",1,0)))</f>
        <v>0</v>
      </c>
      <c r="AP444" s="69"/>
      <c r="AQ444" s="76">
        <f t="shared" si="44"/>
        <v>0</v>
      </c>
      <c r="AR444" s="72"/>
    </row>
    <row r="445" spans="1:44">
      <c r="A445" s="69"/>
      <c r="B445" s="70"/>
      <c r="C445" s="69"/>
      <c r="D445" s="69"/>
      <c r="E445" s="69"/>
      <c r="F445" s="69"/>
      <c r="G445" s="69"/>
      <c r="H445" s="69"/>
      <c r="I445" s="69"/>
      <c r="J445" s="69"/>
      <c r="K445" t="str">
        <f t="shared" si="40"/>
        <v>Not a Lease</v>
      </c>
      <c r="L445" s="69"/>
      <c r="M445" s="69"/>
      <c r="N445" s="69"/>
      <c r="O445" s="69"/>
      <c r="P445" s="69"/>
      <c r="Q445" s="69"/>
      <c r="R445" s="69"/>
      <c r="S445" s="69"/>
      <c r="T445" s="69"/>
      <c r="U445" s="69"/>
      <c r="V445" s="69"/>
      <c r="W445" s="69"/>
      <c r="X445" s="69"/>
      <c r="Y445" s="69"/>
      <c r="Z445">
        <f t="shared" si="43"/>
        <v>0</v>
      </c>
      <c r="AA445">
        <f t="shared" si="41"/>
        <v>0</v>
      </c>
      <c r="AB445">
        <f t="shared" si="42"/>
        <v>0</v>
      </c>
      <c r="AC445">
        <f>+IF(Table3[[#This Row],[Do Both Parties have to agree for extension to occur?]]="Yes",0,IF(AND(W445="Yes",Q445="Yes"),IF(R445=X445,R445,MAX(R445,X445)),IF(AND(W445="Yes",OR(Q445="No",Q445="")),X445,IF(AND(OR(W445="No",W445=""),Q445="Yes"),R445,0))))</f>
        <v>0</v>
      </c>
      <c r="AD445" s="69"/>
      <c r="AE445" s="69"/>
      <c r="AF445" t="str">
        <f>IF(AD445="Monthly",Table3[[#This Row],[Assessed Term]]*12,IF(AD445="quarterly",Table3[[#This Row],[Assessed Term]]*4,IF(AD445="annually",Table3[[#This Row],[Assessed Term]]*1,IF(AD445="weekly",Table3[[#This Row],[Assessed Term]]*52,IF(AD445="semiannually",Table3[[#This Row],[Assessed Term]]*2," ")))))</f>
        <v xml:space="preserve"> </v>
      </c>
      <c r="AG445" s="69"/>
      <c r="AH445" s="69"/>
      <c r="AI445" s="73"/>
      <c r="AJ445" s="73"/>
      <c r="AK445" s="73"/>
      <c r="AL445" s="69"/>
      <c r="AM445" s="69"/>
      <c r="AN445" s="120"/>
      <c r="AO445" s="76" t="b">
        <f>IF(K445 = "Lease",+PV(AN445/(AF445/Table3[[#This Row],[Assessed Term]]),AF445,-AI445,0,IF(AE445="Beginning",1,0)))</f>
        <v>0</v>
      </c>
      <c r="AP445" s="69"/>
      <c r="AQ445" s="76">
        <f t="shared" si="44"/>
        <v>0</v>
      </c>
      <c r="AR445" s="72"/>
    </row>
    <row r="446" spans="1:44">
      <c r="A446" s="69"/>
      <c r="B446" s="70"/>
      <c r="C446" s="69"/>
      <c r="D446" s="69"/>
      <c r="E446" s="69"/>
      <c r="F446" s="69"/>
      <c r="G446" s="69"/>
      <c r="H446" s="69"/>
      <c r="I446" s="69"/>
      <c r="J446" s="69"/>
      <c r="K446" t="str">
        <f t="shared" si="40"/>
        <v>Not a Lease</v>
      </c>
      <c r="L446" s="69"/>
      <c r="M446" s="69"/>
      <c r="N446" s="69"/>
      <c r="O446" s="69"/>
      <c r="P446" s="69"/>
      <c r="Q446" s="69"/>
      <c r="R446" s="69"/>
      <c r="S446" s="69"/>
      <c r="T446" s="69"/>
      <c r="U446" s="69"/>
      <c r="V446" s="69"/>
      <c r="W446" s="69"/>
      <c r="X446" s="69"/>
      <c r="Y446" s="69"/>
      <c r="Z446">
        <f t="shared" si="43"/>
        <v>0</v>
      </c>
      <c r="AA446">
        <f t="shared" si="41"/>
        <v>0</v>
      </c>
      <c r="AB446">
        <f t="shared" si="42"/>
        <v>0</v>
      </c>
      <c r="AC446">
        <f>+IF(Table3[[#This Row],[Do Both Parties have to agree for extension to occur?]]="Yes",0,IF(AND(W446="Yes",Q446="Yes"),IF(R446=X446,R446,MAX(R446,X446)),IF(AND(W446="Yes",OR(Q446="No",Q446="")),X446,IF(AND(OR(W446="No",W446=""),Q446="Yes"),R446,0))))</f>
        <v>0</v>
      </c>
      <c r="AD446" s="69"/>
      <c r="AE446" s="69"/>
      <c r="AF446" t="str">
        <f>IF(AD446="Monthly",Table3[[#This Row],[Assessed Term]]*12,IF(AD446="quarterly",Table3[[#This Row],[Assessed Term]]*4,IF(AD446="annually",Table3[[#This Row],[Assessed Term]]*1,IF(AD446="weekly",Table3[[#This Row],[Assessed Term]]*52,IF(AD446="semiannually",Table3[[#This Row],[Assessed Term]]*2," ")))))</f>
        <v xml:space="preserve"> </v>
      </c>
      <c r="AG446" s="69"/>
      <c r="AH446" s="69"/>
      <c r="AI446" s="73"/>
      <c r="AJ446" s="73"/>
      <c r="AK446" s="73"/>
      <c r="AL446" s="69"/>
      <c r="AM446" s="69"/>
      <c r="AN446" s="120"/>
      <c r="AO446" s="76" t="b">
        <f>IF(K446 = "Lease",+PV(AN446/(AF446/Table3[[#This Row],[Assessed Term]]),AF446,-AI446,0,IF(AE446="Beginning",1,0)))</f>
        <v>0</v>
      </c>
      <c r="AP446" s="69"/>
      <c r="AQ446" s="76">
        <f t="shared" si="44"/>
        <v>0</v>
      </c>
      <c r="AR446" s="72"/>
    </row>
    <row r="447" spans="1:44">
      <c r="A447" s="69"/>
      <c r="B447" s="70"/>
      <c r="C447" s="69"/>
      <c r="D447" s="69"/>
      <c r="E447" s="69"/>
      <c r="F447" s="69"/>
      <c r="G447" s="69"/>
      <c r="H447" s="69"/>
      <c r="I447" s="69"/>
      <c r="J447" s="69"/>
      <c r="K447" t="str">
        <f t="shared" si="40"/>
        <v>Not a Lease</v>
      </c>
      <c r="L447" s="69"/>
      <c r="M447" s="69"/>
      <c r="N447" s="69"/>
      <c r="O447" s="69"/>
      <c r="P447" s="69"/>
      <c r="Q447" s="69"/>
      <c r="R447" s="69"/>
      <c r="S447" s="69"/>
      <c r="T447" s="69"/>
      <c r="U447" s="69"/>
      <c r="V447" s="69"/>
      <c r="W447" s="69"/>
      <c r="X447" s="69"/>
      <c r="Y447" s="69"/>
      <c r="Z447">
        <f t="shared" si="43"/>
        <v>0</v>
      </c>
      <c r="AA447">
        <f t="shared" si="41"/>
        <v>0</v>
      </c>
      <c r="AB447">
        <f t="shared" si="42"/>
        <v>0</v>
      </c>
      <c r="AC447">
        <f>+IF(Table3[[#This Row],[Do Both Parties have to agree for extension to occur?]]="Yes",0,IF(AND(W447="Yes",Q447="Yes"),IF(R447=X447,R447,MAX(R447,X447)),IF(AND(W447="Yes",OR(Q447="No",Q447="")),X447,IF(AND(OR(W447="No",W447=""),Q447="Yes"),R447,0))))</f>
        <v>0</v>
      </c>
      <c r="AD447" s="69"/>
      <c r="AE447" s="69"/>
      <c r="AF447" t="str">
        <f>IF(AD447="Monthly",Table3[[#This Row],[Assessed Term]]*12,IF(AD447="quarterly",Table3[[#This Row],[Assessed Term]]*4,IF(AD447="annually",Table3[[#This Row],[Assessed Term]]*1,IF(AD447="weekly",Table3[[#This Row],[Assessed Term]]*52,IF(AD447="semiannually",Table3[[#This Row],[Assessed Term]]*2," ")))))</f>
        <v xml:space="preserve"> </v>
      </c>
      <c r="AG447" s="69"/>
      <c r="AH447" s="69"/>
      <c r="AI447" s="73"/>
      <c r="AJ447" s="73"/>
      <c r="AK447" s="73"/>
      <c r="AL447" s="69"/>
      <c r="AM447" s="69"/>
      <c r="AN447" s="120"/>
      <c r="AO447" s="76" t="b">
        <f>IF(K447 = "Lease",+PV(AN447/(AF447/Table3[[#This Row],[Assessed Term]]),AF447,-AI447,0,IF(AE447="Beginning",1,0)))</f>
        <v>0</v>
      </c>
      <c r="AP447" s="69"/>
      <c r="AQ447" s="76">
        <f t="shared" si="44"/>
        <v>0</v>
      </c>
      <c r="AR447" s="72"/>
    </row>
    <row r="448" spans="1:44">
      <c r="A448" s="69"/>
      <c r="B448" s="70"/>
      <c r="C448" s="69"/>
      <c r="D448" s="69"/>
      <c r="E448" s="69"/>
      <c r="F448" s="69"/>
      <c r="G448" s="69"/>
      <c r="H448" s="69"/>
      <c r="I448" s="69"/>
      <c r="J448" s="69"/>
      <c r="K448" t="str">
        <f t="shared" si="40"/>
        <v>Not a Lease</v>
      </c>
      <c r="L448" s="69"/>
      <c r="M448" s="69"/>
      <c r="N448" s="69"/>
      <c r="O448" s="69"/>
      <c r="P448" s="69"/>
      <c r="Q448" s="69"/>
      <c r="R448" s="69"/>
      <c r="S448" s="69"/>
      <c r="T448" s="69"/>
      <c r="U448" s="69"/>
      <c r="V448" s="69"/>
      <c r="W448" s="69"/>
      <c r="X448" s="69"/>
      <c r="Y448" s="69"/>
      <c r="Z448">
        <f t="shared" si="43"/>
        <v>0</v>
      </c>
      <c r="AA448">
        <f t="shared" si="41"/>
        <v>0</v>
      </c>
      <c r="AB448">
        <f t="shared" si="42"/>
        <v>0</v>
      </c>
      <c r="AC448">
        <f>+IF(Table3[[#This Row],[Do Both Parties have to agree for extension to occur?]]="Yes",0,IF(AND(W448="Yes",Q448="Yes"),IF(R448=X448,R448,MAX(R448,X448)),IF(AND(W448="Yes",OR(Q448="No",Q448="")),X448,IF(AND(OR(W448="No",W448=""),Q448="Yes"),R448,0))))</f>
        <v>0</v>
      </c>
      <c r="AD448" s="69"/>
      <c r="AE448" s="69"/>
      <c r="AF448" t="str">
        <f>IF(AD448="Monthly",Table3[[#This Row],[Assessed Term]]*12,IF(AD448="quarterly",Table3[[#This Row],[Assessed Term]]*4,IF(AD448="annually",Table3[[#This Row],[Assessed Term]]*1,IF(AD448="weekly",Table3[[#This Row],[Assessed Term]]*52,IF(AD448="semiannually",Table3[[#This Row],[Assessed Term]]*2," ")))))</f>
        <v xml:space="preserve"> </v>
      </c>
      <c r="AG448" s="69"/>
      <c r="AH448" s="69"/>
      <c r="AI448" s="73"/>
      <c r="AJ448" s="73"/>
      <c r="AK448" s="73"/>
      <c r="AL448" s="69"/>
      <c r="AM448" s="69"/>
      <c r="AN448" s="120"/>
      <c r="AO448" s="76" t="b">
        <f>IF(K448 = "Lease",+PV(AN448/(AF448/Table3[[#This Row],[Assessed Term]]),AF448,-AI448,0,IF(AE448="Beginning",1,0)))</f>
        <v>0</v>
      </c>
      <c r="AP448" s="69"/>
      <c r="AQ448" s="76">
        <f t="shared" si="44"/>
        <v>0</v>
      </c>
      <c r="AR448" s="72"/>
    </row>
    <row r="449" spans="1:44">
      <c r="A449" s="69"/>
      <c r="B449" s="70"/>
      <c r="C449" s="69"/>
      <c r="D449" s="69"/>
      <c r="E449" s="69"/>
      <c r="F449" s="69"/>
      <c r="G449" s="69"/>
      <c r="H449" s="69"/>
      <c r="I449" s="69"/>
      <c r="J449" s="69"/>
      <c r="K449" t="str">
        <f t="shared" si="40"/>
        <v>Not a Lease</v>
      </c>
      <c r="L449" s="69"/>
      <c r="M449" s="69"/>
      <c r="N449" s="69"/>
      <c r="O449" s="69"/>
      <c r="P449" s="69"/>
      <c r="Q449" s="69"/>
      <c r="R449" s="69"/>
      <c r="S449" s="69"/>
      <c r="T449" s="69"/>
      <c r="U449" s="69"/>
      <c r="V449" s="69"/>
      <c r="W449" s="69"/>
      <c r="X449" s="69"/>
      <c r="Y449" s="69"/>
      <c r="Z449">
        <f t="shared" si="43"/>
        <v>0</v>
      </c>
      <c r="AA449">
        <f t="shared" si="41"/>
        <v>0</v>
      </c>
      <c r="AB449">
        <f t="shared" si="42"/>
        <v>0</v>
      </c>
      <c r="AC449">
        <f>+IF(Table3[[#This Row],[Do Both Parties have to agree for extension to occur?]]="Yes",0,IF(AND(W449="Yes",Q449="Yes"),IF(R449=X449,R449,MAX(R449,X449)),IF(AND(W449="Yes",OR(Q449="No",Q449="")),X449,IF(AND(OR(W449="No",W449=""),Q449="Yes"),R449,0))))</f>
        <v>0</v>
      </c>
      <c r="AD449" s="69"/>
      <c r="AE449" s="69"/>
      <c r="AF449" t="str">
        <f>IF(AD449="Monthly",Table3[[#This Row],[Assessed Term]]*12,IF(AD449="quarterly",Table3[[#This Row],[Assessed Term]]*4,IF(AD449="annually",Table3[[#This Row],[Assessed Term]]*1,IF(AD449="weekly",Table3[[#This Row],[Assessed Term]]*52,IF(AD449="semiannually",Table3[[#This Row],[Assessed Term]]*2," ")))))</f>
        <v xml:space="preserve"> </v>
      </c>
      <c r="AG449" s="69"/>
      <c r="AH449" s="69"/>
      <c r="AI449" s="73"/>
      <c r="AJ449" s="73"/>
      <c r="AK449" s="73"/>
      <c r="AL449" s="69"/>
      <c r="AM449" s="69"/>
      <c r="AN449" s="120"/>
      <c r="AO449" s="76" t="b">
        <f>IF(K449 = "Lease",+PV(AN449/(AF449/Table3[[#This Row],[Assessed Term]]),AF449,-AI449,0,IF(AE449="Beginning",1,0)))</f>
        <v>0</v>
      </c>
      <c r="AP449" s="69"/>
      <c r="AQ449" s="76">
        <f t="shared" si="44"/>
        <v>0</v>
      </c>
      <c r="AR449" s="72"/>
    </row>
    <row r="450" spans="1:44">
      <c r="A450" s="69"/>
      <c r="B450" s="70"/>
      <c r="C450" s="69"/>
      <c r="D450" s="69"/>
      <c r="E450" s="69"/>
      <c r="F450" s="69"/>
      <c r="G450" s="69"/>
      <c r="H450" s="69"/>
      <c r="I450" s="69"/>
      <c r="J450" s="69"/>
      <c r="K450" t="str">
        <f t="shared" si="40"/>
        <v>Not a Lease</v>
      </c>
      <c r="L450" s="69"/>
      <c r="M450" s="69"/>
      <c r="N450" s="69"/>
      <c r="O450" s="69"/>
      <c r="P450" s="69"/>
      <c r="Q450" s="69"/>
      <c r="R450" s="69"/>
      <c r="S450" s="69"/>
      <c r="T450" s="69"/>
      <c r="U450" s="69"/>
      <c r="V450" s="69"/>
      <c r="W450" s="69"/>
      <c r="X450" s="69"/>
      <c r="Y450" s="69"/>
      <c r="Z450">
        <f t="shared" si="43"/>
        <v>0</v>
      </c>
      <c r="AA450">
        <f t="shared" si="41"/>
        <v>0</v>
      </c>
      <c r="AB450">
        <f t="shared" si="42"/>
        <v>0</v>
      </c>
      <c r="AC450">
        <f>+IF(Table3[[#This Row],[Do Both Parties have to agree for extension to occur?]]="Yes",0,IF(AND(W450="Yes",Q450="Yes"),IF(R450=X450,R450,MAX(R450,X450)),IF(AND(W450="Yes",OR(Q450="No",Q450="")),X450,IF(AND(OR(W450="No",W450=""),Q450="Yes"),R450,0))))</f>
        <v>0</v>
      </c>
      <c r="AD450" s="69"/>
      <c r="AE450" s="69"/>
      <c r="AF450" t="str">
        <f>IF(AD450="Monthly",Table3[[#This Row],[Assessed Term]]*12,IF(AD450="quarterly",Table3[[#This Row],[Assessed Term]]*4,IF(AD450="annually",Table3[[#This Row],[Assessed Term]]*1,IF(AD450="weekly",Table3[[#This Row],[Assessed Term]]*52,IF(AD450="semiannually",Table3[[#This Row],[Assessed Term]]*2," ")))))</f>
        <v xml:space="preserve"> </v>
      </c>
      <c r="AG450" s="69"/>
      <c r="AH450" s="69"/>
      <c r="AI450" s="73"/>
      <c r="AJ450" s="73"/>
      <c r="AK450" s="73"/>
      <c r="AL450" s="69"/>
      <c r="AM450" s="69"/>
      <c r="AN450" s="120"/>
      <c r="AO450" s="76" t="b">
        <f>IF(K450 = "Lease",+PV(AN450/(AF450/Table3[[#This Row],[Assessed Term]]),AF450,-AI450,0,IF(AE450="Beginning",1,0)))</f>
        <v>0</v>
      </c>
      <c r="AP450" s="69"/>
      <c r="AQ450" s="76">
        <f t="shared" si="44"/>
        <v>0</v>
      </c>
      <c r="AR450" s="72"/>
    </row>
    <row r="451" spans="1:44">
      <c r="A451" s="69"/>
      <c r="B451" s="70"/>
      <c r="C451" s="69"/>
      <c r="D451" s="69"/>
      <c r="E451" s="69"/>
      <c r="F451" s="69"/>
      <c r="G451" s="69"/>
      <c r="H451" s="69"/>
      <c r="I451" s="69"/>
      <c r="J451" s="69"/>
      <c r="K451" t="str">
        <f t="shared" si="40"/>
        <v>Not a Lease</v>
      </c>
      <c r="L451" s="69"/>
      <c r="M451" s="69"/>
      <c r="N451" s="69"/>
      <c r="O451" s="69"/>
      <c r="P451" s="69"/>
      <c r="Q451" s="69"/>
      <c r="R451" s="69"/>
      <c r="S451" s="69"/>
      <c r="T451" s="69"/>
      <c r="U451" s="69"/>
      <c r="V451" s="69"/>
      <c r="W451" s="69"/>
      <c r="X451" s="69"/>
      <c r="Y451" s="69"/>
      <c r="Z451">
        <f t="shared" si="43"/>
        <v>0</v>
      </c>
      <c r="AA451">
        <f t="shared" si="41"/>
        <v>0</v>
      </c>
      <c r="AB451">
        <f t="shared" si="42"/>
        <v>0</v>
      </c>
      <c r="AC451">
        <f>+IF(Table3[[#This Row],[Do Both Parties have to agree for extension to occur?]]="Yes",0,IF(AND(W451="Yes",Q451="Yes"),IF(R451=X451,R451,MAX(R451,X451)),IF(AND(W451="Yes",OR(Q451="No",Q451="")),X451,IF(AND(OR(W451="No",W451=""),Q451="Yes"),R451,0))))</f>
        <v>0</v>
      </c>
      <c r="AD451" s="69"/>
      <c r="AE451" s="69"/>
      <c r="AF451" t="str">
        <f>IF(AD451="Monthly",Table3[[#This Row],[Assessed Term]]*12,IF(AD451="quarterly",Table3[[#This Row],[Assessed Term]]*4,IF(AD451="annually",Table3[[#This Row],[Assessed Term]]*1,IF(AD451="weekly",Table3[[#This Row],[Assessed Term]]*52,IF(AD451="semiannually",Table3[[#This Row],[Assessed Term]]*2," ")))))</f>
        <v xml:space="preserve"> </v>
      </c>
      <c r="AG451" s="69"/>
      <c r="AH451" s="69"/>
      <c r="AI451" s="73"/>
      <c r="AJ451" s="73"/>
      <c r="AK451" s="73"/>
      <c r="AL451" s="69"/>
      <c r="AM451" s="69"/>
      <c r="AN451" s="120"/>
      <c r="AO451" s="76" t="b">
        <f>IF(K451 = "Lease",+PV(AN451/(AF451/Table3[[#This Row],[Assessed Term]]),AF451,-AI451,0,IF(AE451="Beginning",1,0)))</f>
        <v>0</v>
      </c>
      <c r="AP451" s="69"/>
      <c r="AQ451" s="76">
        <f t="shared" si="44"/>
        <v>0</v>
      </c>
      <c r="AR451" s="72"/>
    </row>
    <row r="452" spans="1:44">
      <c r="A452" s="69"/>
      <c r="B452" s="70"/>
      <c r="C452" s="69"/>
      <c r="D452" s="69"/>
      <c r="E452" s="69"/>
      <c r="F452" s="69"/>
      <c r="G452" s="69"/>
      <c r="H452" s="69"/>
      <c r="I452" s="69"/>
      <c r="J452" s="69"/>
      <c r="K452" t="str">
        <f t="shared" ref="K452:K515" si="45">+IF(AND(F452="yes",G452="yes", H452="no",E452&lt;&gt;"Intangible Asset",E452&lt;&gt;"Service",I452 ="yes", E452&lt;&gt;"Investment", E452&lt;&gt;"Inventory",J452&lt;&gt;"Yes",E452&lt;&gt;""),"Lease","Not a Lease")</f>
        <v>Not a Lease</v>
      </c>
      <c r="L452" s="69"/>
      <c r="M452" s="69"/>
      <c r="N452" s="69"/>
      <c r="O452" s="69"/>
      <c r="P452" s="69"/>
      <c r="Q452" s="69"/>
      <c r="R452" s="69"/>
      <c r="S452" s="69"/>
      <c r="T452" s="69"/>
      <c r="U452" s="69"/>
      <c r="V452" s="69"/>
      <c r="W452" s="69"/>
      <c r="X452" s="69"/>
      <c r="Y452" s="69"/>
      <c r="Z452">
        <f t="shared" si="43"/>
        <v>0</v>
      </c>
      <c r="AA452">
        <f t="shared" ref="AA452:AA515" si="46">+IF(AND(S452="Yes",M452="Yes"),IF(OR(O452=U452,O452&lt;U452),U452,O452),L452)</f>
        <v>0</v>
      </c>
      <c r="AB452">
        <f t="shared" ref="AB452:AB515" si="47">+IF(M452=S452,MAX(O452,U452),(IF(OR(T452="yes",N452="Yes"),MIN(O452,U452),IF(AND(T452="Yes",N452="No"),U452,IF(AND(T452="No",N452="Yes"),O452,0)))))</f>
        <v>0</v>
      </c>
      <c r="AC452">
        <f>+IF(Table3[[#This Row],[Do Both Parties have to agree for extension to occur?]]="Yes",0,IF(AND(W452="Yes",Q452="Yes"),IF(R452=X452,R452,MAX(R452,X452)),IF(AND(W452="Yes",OR(Q452="No",Q452="")),X452,IF(AND(OR(W452="No",W452=""),Q452="Yes"),R452,0))))</f>
        <v>0</v>
      </c>
      <c r="AD452" s="69"/>
      <c r="AE452" s="69"/>
      <c r="AF452" t="str">
        <f>IF(AD452="Monthly",Table3[[#This Row],[Assessed Term]]*12,IF(AD452="quarterly",Table3[[#This Row],[Assessed Term]]*4,IF(AD452="annually",Table3[[#This Row],[Assessed Term]]*1,IF(AD452="weekly",Table3[[#This Row],[Assessed Term]]*52,IF(AD452="semiannually",Table3[[#This Row],[Assessed Term]]*2," ")))))</f>
        <v xml:space="preserve"> </v>
      </c>
      <c r="AG452" s="69"/>
      <c r="AH452" s="69"/>
      <c r="AI452" s="73"/>
      <c r="AJ452" s="73"/>
      <c r="AK452" s="73"/>
      <c r="AL452" s="69"/>
      <c r="AM452" s="69"/>
      <c r="AN452" s="120"/>
      <c r="AO452" s="76" t="b">
        <f>IF(K452 = "Lease",+PV(AN452/(AF452/Table3[[#This Row],[Assessed Term]]),AF452,-AI452,0,IF(AE452="Beginning",1,0)))</f>
        <v>0</v>
      </c>
      <c r="AP452" s="69"/>
      <c r="AQ452" s="76">
        <f t="shared" si="44"/>
        <v>0</v>
      </c>
      <c r="AR452" s="72"/>
    </row>
    <row r="453" spans="1:44">
      <c r="A453" s="69"/>
      <c r="B453" s="70"/>
      <c r="C453" s="69"/>
      <c r="D453" s="69"/>
      <c r="E453" s="69"/>
      <c r="F453" s="69"/>
      <c r="G453" s="69"/>
      <c r="H453" s="69"/>
      <c r="I453" s="69"/>
      <c r="J453" s="69"/>
      <c r="K453" t="str">
        <f t="shared" si="45"/>
        <v>Not a Lease</v>
      </c>
      <c r="L453" s="69"/>
      <c r="M453" s="69"/>
      <c r="N453" s="69"/>
      <c r="O453" s="69"/>
      <c r="P453" s="69"/>
      <c r="Q453" s="69"/>
      <c r="R453" s="69"/>
      <c r="S453" s="69"/>
      <c r="T453" s="69"/>
      <c r="U453" s="69"/>
      <c r="V453" s="69"/>
      <c r="W453" s="69"/>
      <c r="X453" s="69"/>
      <c r="Y453" s="69"/>
      <c r="Z453">
        <f t="shared" si="43"/>
        <v>0</v>
      </c>
      <c r="AA453">
        <f t="shared" si="46"/>
        <v>0</v>
      </c>
      <c r="AB453">
        <f t="shared" si="47"/>
        <v>0</v>
      </c>
      <c r="AC453">
        <f>+IF(Table3[[#This Row],[Do Both Parties have to agree for extension to occur?]]="Yes",0,IF(AND(W453="Yes",Q453="Yes"),IF(R453=X453,R453,MAX(R453,X453)),IF(AND(W453="Yes",OR(Q453="No",Q453="")),X453,IF(AND(OR(W453="No",W453=""),Q453="Yes"),R453,0))))</f>
        <v>0</v>
      </c>
      <c r="AD453" s="69"/>
      <c r="AE453" s="69"/>
      <c r="AF453" t="str">
        <f>IF(AD453="Monthly",Table3[[#This Row],[Assessed Term]]*12,IF(AD453="quarterly",Table3[[#This Row],[Assessed Term]]*4,IF(AD453="annually",Table3[[#This Row],[Assessed Term]]*1,IF(AD453="weekly",Table3[[#This Row],[Assessed Term]]*52,IF(AD453="semiannually",Table3[[#This Row],[Assessed Term]]*2," ")))))</f>
        <v xml:space="preserve"> </v>
      </c>
      <c r="AG453" s="69"/>
      <c r="AH453" s="69"/>
      <c r="AI453" s="73"/>
      <c r="AJ453" s="73"/>
      <c r="AK453" s="73"/>
      <c r="AL453" s="69"/>
      <c r="AM453" s="69"/>
      <c r="AN453" s="120"/>
      <c r="AO453" s="76" t="b">
        <f>IF(K453 = "Lease",+PV(AN453/(AF453/Table3[[#This Row],[Assessed Term]]),AF453,-AI453,0,IF(AE453="Beginning",1,0)))</f>
        <v>0</v>
      </c>
      <c r="AP453" s="69"/>
      <c r="AQ453" s="76">
        <f t="shared" si="44"/>
        <v>0</v>
      </c>
      <c r="AR453" s="72"/>
    </row>
    <row r="454" spans="1:44">
      <c r="A454" s="69"/>
      <c r="B454" s="70"/>
      <c r="C454" s="69"/>
      <c r="D454" s="69"/>
      <c r="E454" s="69"/>
      <c r="F454" s="69"/>
      <c r="G454" s="69"/>
      <c r="H454" s="69"/>
      <c r="I454" s="69"/>
      <c r="J454" s="69"/>
      <c r="K454" t="str">
        <f t="shared" si="45"/>
        <v>Not a Lease</v>
      </c>
      <c r="L454" s="69"/>
      <c r="M454" s="69"/>
      <c r="N454" s="69"/>
      <c r="O454" s="69"/>
      <c r="P454" s="69"/>
      <c r="Q454" s="69"/>
      <c r="R454" s="69"/>
      <c r="S454" s="69"/>
      <c r="T454" s="69"/>
      <c r="U454" s="69"/>
      <c r="V454" s="69"/>
      <c r="W454" s="69"/>
      <c r="X454" s="69"/>
      <c r="Y454" s="69"/>
      <c r="Z454">
        <f t="shared" si="43"/>
        <v>0</v>
      </c>
      <c r="AA454">
        <f t="shared" si="46"/>
        <v>0</v>
      </c>
      <c r="AB454">
        <f t="shared" si="47"/>
        <v>0</v>
      </c>
      <c r="AC454">
        <f>+IF(Table3[[#This Row],[Do Both Parties have to agree for extension to occur?]]="Yes",0,IF(AND(W454="Yes",Q454="Yes"),IF(R454=X454,R454,MAX(R454,X454)),IF(AND(W454="Yes",OR(Q454="No",Q454="")),X454,IF(AND(OR(W454="No",W454=""),Q454="Yes"),R454,0))))</f>
        <v>0</v>
      </c>
      <c r="AD454" s="69"/>
      <c r="AE454" s="69"/>
      <c r="AF454" t="str">
        <f>IF(AD454="Monthly",Table3[[#This Row],[Assessed Term]]*12,IF(AD454="quarterly",Table3[[#This Row],[Assessed Term]]*4,IF(AD454="annually",Table3[[#This Row],[Assessed Term]]*1,IF(AD454="weekly",Table3[[#This Row],[Assessed Term]]*52,IF(AD454="semiannually",Table3[[#This Row],[Assessed Term]]*2," ")))))</f>
        <v xml:space="preserve"> </v>
      </c>
      <c r="AG454" s="69"/>
      <c r="AH454" s="69"/>
      <c r="AI454" s="73"/>
      <c r="AJ454" s="73"/>
      <c r="AK454" s="73"/>
      <c r="AL454" s="69"/>
      <c r="AM454" s="69"/>
      <c r="AN454" s="120"/>
      <c r="AO454" s="76" t="b">
        <f>IF(K454 = "Lease",+PV(AN454/(AF454/Table3[[#This Row],[Assessed Term]]),AF454,-AI454,0,IF(AE454="Beginning",1,0)))</f>
        <v>0</v>
      </c>
      <c r="AP454" s="69"/>
      <c r="AQ454" s="76">
        <f t="shared" si="44"/>
        <v>0</v>
      </c>
      <c r="AR454" s="72"/>
    </row>
    <row r="455" spans="1:44">
      <c r="A455" s="69"/>
      <c r="B455" s="70"/>
      <c r="C455" s="69"/>
      <c r="D455" s="69"/>
      <c r="E455" s="69"/>
      <c r="F455" s="69"/>
      <c r="G455" s="69"/>
      <c r="H455" s="69"/>
      <c r="I455" s="69"/>
      <c r="J455" s="69"/>
      <c r="K455" t="str">
        <f t="shared" si="45"/>
        <v>Not a Lease</v>
      </c>
      <c r="L455" s="69"/>
      <c r="M455" s="69"/>
      <c r="N455" s="69"/>
      <c r="O455" s="69"/>
      <c r="P455" s="69"/>
      <c r="Q455" s="69"/>
      <c r="R455" s="69"/>
      <c r="S455" s="69"/>
      <c r="T455" s="69"/>
      <c r="U455" s="69"/>
      <c r="V455" s="69"/>
      <c r="W455" s="69"/>
      <c r="X455" s="69"/>
      <c r="Y455" s="69"/>
      <c r="Z455">
        <f t="shared" si="43"/>
        <v>0</v>
      </c>
      <c r="AA455">
        <f t="shared" si="46"/>
        <v>0</v>
      </c>
      <c r="AB455">
        <f t="shared" si="47"/>
        <v>0</v>
      </c>
      <c r="AC455">
        <f>+IF(Table3[[#This Row],[Do Both Parties have to agree for extension to occur?]]="Yes",0,IF(AND(W455="Yes",Q455="Yes"),IF(R455=X455,R455,MAX(R455,X455)),IF(AND(W455="Yes",OR(Q455="No",Q455="")),X455,IF(AND(OR(W455="No",W455=""),Q455="Yes"),R455,0))))</f>
        <v>0</v>
      </c>
      <c r="AD455" s="69"/>
      <c r="AE455" s="69"/>
      <c r="AF455" t="str">
        <f>IF(AD455="Monthly",Table3[[#This Row],[Assessed Term]]*12,IF(AD455="quarterly",Table3[[#This Row],[Assessed Term]]*4,IF(AD455="annually",Table3[[#This Row],[Assessed Term]]*1,IF(AD455="weekly",Table3[[#This Row],[Assessed Term]]*52,IF(AD455="semiannually",Table3[[#This Row],[Assessed Term]]*2," ")))))</f>
        <v xml:space="preserve"> </v>
      </c>
      <c r="AG455" s="69"/>
      <c r="AH455" s="69"/>
      <c r="AI455" s="73"/>
      <c r="AJ455" s="73"/>
      <c r="AK455" s="73"/>
      <c r="AL455" s="69"/>
      <c r="AM455" s="69"/>
      <c r="AN455" s="120"/>
      <c r="AO455" s="76" t="b">
        <f>IF(K455 = "Lease",+PV(AN455/(AF455/Table3[[#This Row],[Assessed Term]]),AF455,-AI455,0,IF(AE455="Beginning",1,0)))</f>
        <v>0</v>
      </c>
      <c r="AP455" s="69"/>
      <c r="AQ455" s="76">
        <f t="shared" si="44"/>
        <v>0</v>
      </c>
      <c r="AR455" s="72"/>
    </row>
    <row r="456" spans="1:44">
      <c r="A456" s="69"/>
      <c r="B456" s="70"/>
      <c r="C456" s="69"/>
      <c r="D456" s="69"/>
      <c r="E456" s="69"/>
      <c r="F456" s="69"/>
      <c r="G456" s="69"/>
      <c r="H456" s="69"/>
      <c r="I456" s="69"/>
      <c r="J456" s="69"/>
      <c r="K456" t="str">
        <f t="shared" si="45"/>
        <v>Not a Lease</v>
      </c>
      <c r="L456" s="69"/>
      <c r="M456" s="69"/>
      <c r="N456" s="69"/>
      <c r="O456" s="69"/>
      <c r="P456" s="69"/>
      <c r="Q456" s="69"/>
      <c r="R456" s="69"/>
      <c r="S456" s="69"/>
      <c r="T456" s="69"/>
      <c r="U456" s="69"/>
      <c r="V456" s="69"/>
      <c r="W456" s="69"/>
      <c r="X456" s="69"/>
      <c r="Y456" s="69"/>
      <c r="Z456">
        <f t="shared" si="43"/>
        <v>0</v>
      </c>
      <c r="AA456">
        <f t="shared" si="46"/>
        <v>0</v>
      </c>
      <c r="AB456">
        <f t="shared" si="47"/>
        <v>0</v>
      </c>
      <c r="AC456">
        <f>+IF(Table3[[#This Row],[Do Both Parties have to agree for extension to occur?]]="Yes",0,IF(AND(W456="Yes",Q456="Yes"),IF(R456=X456,R456,MAX(R456,X456)),IF(AND(W456="Yes",OR(Q456="No",Q456="")),X456,IF(AND(OR(W456="No",W456=""),Q456="Yes"),R456,0))))</f>
        <v>0</v>
      </c>
      <c r="AD456" s="69"/>
      <c r="AE456" s="69"/>
      <c r="AF456" t="str">
        <f>IF(AD456="Monthly",Table3[[#This Row],[Assessed Term]]*12,IF(AD456="quarterly",Table3[[#This Row],[Assessed Term]]*4,IF(AD456="annually",Table3[[#This Row],[Assessed Term]]*1,IF(AD456="weekly",Table3[[#This Row],[Assessed Term]]*52,IF(AD456="semiannually",Table3[[#This Row],[Assessed Term]]*2," ")))))</f>
        <v xml:space="preserve"> </v>
      </c>
      <c r="AG456" s="69"/>
      <c r="AH456" s="69"/>
      <c r="AI456" s="73"/>
      <c r="AJ456" s="73"/>
      <c r="AK456" s="73"/>
      <c r="AL456" s="69"/>
      <c r="AM456" s="69"/>
      <c r="AN456" s="120"/>
      <c r="AO456" s="76" t="b">
        <f>IF(K456 = "Lease",+PV(AN456/(AF456/Table3[[#This Row],[Assessed Term]]),AF456,-AI456,0,IF(AE456="Beginning",1,0)))</f>
        <v>0</v>
      </c>
      <c r="AP456" s="69"/>
      <c r="AQ456" s="76">
        <f t="shared" si="44"/>
        <v>0</v>
      </c>
      <c r="AR456" s="72"/>
    </row>
    <row r="457" spans="1:44">
      <c r="A457" s="69"/>
      <c r="B457" s="70"/>
      <c r="C457" s="69"/>
      <c r="D457" s="69"/>
      <c r="E457" s="69"/>
      <c r="F457" s="69"/>
      <c r="G457" s="69"/>
      <c r="H457" s="69"/>
      <c r="I457" s="69"/>
      <c r="J457" s="69"/>
      <c r="K457" t="str">
        <f t="shared" si="45"/>
        <v>Not a Lease</v>
      </c>
      <c r="L457" s="69"/>
      <c r="M457" s="69"/>
      <c r="N457" s="69"/>
      <c r="O457" s="69"/>
      <c r="P457" s="69"/>
      <c r="Q457" s="69"/>
      <c r="R457" s="69"/>
      <c r="S457" s="69"/>
      <c r="T457" s="69"/>
      <c r="U457" s="69"/>
      <c r="V457" s="69"/>
      <c r="W457" s="69"/>
      <c r="X457" s="69"/>
      <c r="Y457" s="69"/>
      <c r="Z457">
        <f t="shared" si="43"/>
        <v>0</v>
      </c>
      <c r="AA457">
        <f t="shared" si="46"/>
        <v>0</v>
      </c>
      <c r="AB457">
        <f t="shared" si="47"/>
        <v>0</v>
      </c>
      <c r="AC457">
        <f>+IF(Table3[[#This Row],[Do Both Parties have to agree for extension to occur?]]="Yes",0,IF(AND(W457="Yes",Q457="Yes"),IF(R457=X457,R457,MAX(R457,X457)),IF(AND(W457="Yes",OR(Q457="No",Q457="")),X457,IF(AND(OR(W457="No",W457=""),Q457="Yes"),R457,0))))</f>
        <v>0</v>
      </c>
      <c r="AD457" s="69"/>
      <c r="AE457" s="69"/>
      <c r="AF457" t="str">
        <f>IF(AD457="Monthly",Table3[[#This Row],[Assessed Term]]*12,IF(AD457="quarterly",Table3[[#This Row],[Assessed Term]]*4,IF(AD457="annually",Table3[[#This Row],[Assessed Term]]*1,IF(AD457="weekly",Table3[[#This Row],[Assessed Term]]*52,IF(AD457="semiannually",Table3[[#This Row],[Assessed Term]]*2," ")))))</f>
        <v xml:space="preserve"> </v>
      </c>
      <c r="AG457" s="69"/>
      <c r="AH457" s="69"/>
      <c r="AI457" s="73"/>
      <c r="AJ457" s="73"/>
      <c r="AK457" s="73"/>
      <c r="AL457" s="69"/>
      <c r="AM457" s="69"/>
      <c r="AN457" s="120"/>
      <c r="AO457" s="76" t="b">
        <f>IF(K457 = "Lease",+PV(AN457/(AF457/Table3[[#This Row],[Assessed Term]]),AF457,-AI457,0,IF(AE457="Beginning",1,0)))</f>
        <v>0</v>
      </c>
      <c r="AP457" s="69"/>
      <c r="AQ457" s="76">
        <f t="shared" si="44"/>
        <v>0</v>
      </c>
      <c r="AR457" s="72"/>
    </row>
    <row r="458" spans="1:44">
      <c r="A458" s="69"/>
      <c r="B458" s="70"/>
      <c r="C458" s="69"/>
      <c r="D458" s="69"/>
      <c r="E458" s="69"/>
      <c r="F458" s="69"/>
      <c r="G458" s="69"/>
      <c r="H458" s="69"/>
      <c r="I458" s="69"/>
      <c r="J458" s="69"/>
      <c r="K458" t="str">
        <f t="shared" si="45"/>
        <v>Not a Lease</v>
      </c>
      <c r="L458" s="69"/>
      <c r="M458" s="69"/>
      <c r="N458" s="69"/>
      <c r="O458" s="69"/>
      <c r="P458" s="69"/>
      <c r="Q458" s="69"/>
      <c r="R458" s="69"/>
      <c r="S458" s="69"/>
      <c r="T458" s="69"/>
      <c r="U458" s="69"/>
      <c r="V458" s="69"/>
      <c r="W458" s="69"/>
      <c r="X458" s="69"/>
      <c r="Y458" s="69"/>
      <c r="Z458">
        <f t="shared" si="43"/>
        <v>0</v>
      </c>
      <c r="AA458">
        <f t="shared" si="46"/>
        <v>0</v>
      </c>
      <c r="AB458">
        <f t="shared" si="47"/>
        <v>0</v>
      </c>
      <c r="AC458">
        <f>+IF(Table3[[#This Row],[Do Both Parties have to agree for extension to occur?]]="Yes",0,IF(AND(W458="Yes",Q458="Yes"),IF(R458=X458,R458,MAX(R458,X458)),IF(AND(W458="Yes",OR(Q458="No",Q458="")),X458,IF(AND(OR(W458="No",W458=""),Q458="Yes"),R458,0))))</f>
        <v>0</v>
      </c>
      <c r="AD458" s="69"/>
      <c r="AE458" s="69"/>
      <c r="AF458" t="str">
        <f>IF(AD458="Monthly",Table3[[#This Row],[Assessed Term]]*12,IF(AD458="quarterly",Table3[[#This Row],[Assessed Term]]*4,IF(AD458="annually",Table3[[#This Row],[Assessed Term]]*1,IF(AD458="weekly",Table3[[#This Row],[Assessed Term]]*52,IF(AD458="semiannually",Table3[[#This Row],[Assessed Term]]*2," ")))))</f>
        <v xml:space="preserve"> </v>
      </c>
      <c r="AG458" s="69"/>
      <c r="AH458" s="69"/>
      <c r="AI458" s="73"/>
      <c r="AJ458" s="73"/>
      <c r="AK458" s="73"/>
      <c r="AL458" s="69"/>
      <c r="AM458" s="69"/>
      <c r="AN458" s="120"/>
      <c r="AO458" s="76" t="b">
        <f>IF(K458 = "Lease",+PV(AN458/(AF458/Table3[[#This Row],[Assessed Term]]),AF458,-AI458,0,IF(AE458="Beginning",1,0)))</f>
        <v>0</v>
      </c>
      <c r="AP458" s="69"/>
      <c r="AQ458" s="76">
        <f t="shared" si="44"/>
        <v>0</v>
      </c>
      <c r="AR458" s="72"/>
    </row>
    <row r="459" spans="1:44">
      <c r="A459" s="69"/>
      <c r="B459" s="70"/>
      <c r="C459" s="69"/>
      <c r="D459" s="69"/>
      <c r="E459" s="69"/>
      <c r="F459" s="69"/>
      <c r="G459" s="69"/>
      <c r="H459" s="69"/>
      <c r="I459" s="69"/>
      <c r="J459" s="69"/>
      <c r="K459" t="str">
        <f t="shared" si="45"/>
        <v>Not a Lease</v>
      </c>
      <c r="L459" s="69"/>
      <c r="M459" s="69"/>
      <c r="N459" s="69"/>
      <c r="O459" s="69"/>
      <c r="P459" s="69"/>
      <c r="Q459" s="69"/>
      <c r="R459" s="69"/>
      <c r="S459" s="69"/>
      <c r="T459" s="69"/>
      <c r="U459" s="69"/>
      <c r="V459" s="69"/>
      <c r="W459" s="69"/>
      <c r="X459" s="69"/>
      <c r="Y459" s="69"/>
      <c r="Z459">
        <f t="shared" si="43"/>
        <v>0</v>
      </c>
      <c r="AA459">
        <f t="shared" si="46"/>
        <v>0</v>
      </c>
      <c r="AB459">
        <f t="shared" si="47"/>
        <v>0</v>
      </c>
      <c r="AC459">
        <f>+IF(Table3[[#This Row],[Do Both Parties have to agree for extension to occur?]]="Yes",0,IF(AND(W459="Yes",Q459="Yes"),IF(R459=X459,R459,MAX(R459,X459)),IF(AND(W459="Yes",OR(Q459="No",Q459="")),X459,IF(AND(OR(W459="No",W459=""),Q459="Yes"),R459,0))))</f>
        <v>0</v>
      </c>
      <c r="AD459" s="69"/>
      <c r="AE459" s="69"/>
      <c r="AF459" t="str">
        <f>IF(AD459="Monthly",Table3[[#This Row],[Assessed Term]]*12,IF(AD459="quarterly",Table3[[#This Row],[Assessed Term]]*4,IF(AD459="annually",Table3[[#This Row],[Assessed Term]]*1,IF(AD459="weekly",Table3[[#This Row],[Assessed Term]]*52,IF(AD459="semiannually",Table3[[#This Row],[Assessed Term]]*2," ")))))</f>
        <v xml:space="preserve"> </v>
      </c>
      <c r="AG459" s="69"/>
      <c r="AH459" s="69"/>
      <c r="AI459" s="73"/>
      <c r="AJ459" s="73"/>
      <c r="AK459" s="73"/>
      <c r="AL459" s="69"/>
      <c r="AM459" s="69"/>
      <c r="AN459" s="120"/>
      <c r="AO459" s="76" t="b">
        <f>IF(K459 = "Lease",+PV(AN459/(AF459/Table3[[#This Row],[Assessed Term]]),AF459,-AI459,0,IF(AE459="Beginning",1,0)))</f>
        <v>0</v>
      </c>
      <c r="AP459" s="69"/>
      <c r="AQ459" s="76">
        <f t="shared" si="44"/>
        <v>0</v>
      </c>
      <c r="AR459" s="72"/>
    </row>
    <row r="460" spans="1:44">
      <c r="A460" s="69"/>
      <c r="B460" s="70"/>
      <c r="C460" s="69"/>
      <c r="D460" s="69"/>
      <c r="E460" s="69"/>
      <c r="F460" s="69"/>
      <c r="G460" s="69"/>
      <c r="H460" s="69"/>
      <c r="I460" s="69"/>
      <c r="J460" s="69"/>
      <c r="K460" t="str">
        <f t="shared" si="45"/>
        <v>Not a Lease</v>
      </c>
      <c r="L460" s="69"/>
      <c r="M460" s="69"/>
      <c r="N460" s="69"/>
      <c r="O460" s="69"/>
      <c r="P460" s="69"/>
      <c r="Q460" s="69"/>
      <c r="R460" s="69"/>
      <c r="S460" s="69"/>
      <c r="T460" s="69"/>
      <c r="U460" s="69"/>
      <c r="V460" s="69"/>
      <c r="W460" s="69"/>
      <c r="X460" s="69"/>
      <c r="Y460" s="69"/>
      <c r="Z460">
        <f t="shared" si="43"/>
        <v>0</v>
      </c>
      <c r="AA460">
        <f t="shared" si="46"/>
        <v>0</v>
      </c>
      <c r="AB460">
        <f t="shared" si="47"/>
        <v>0</v>
      </c>
      <c r="AC460">
        <f>+IF(Table3[[#This Row],[Do Both Parties have to agree for extension to occur?]]="Yes",0,IF(AND(W460="Yes",Q460="Yes"),IF(R460=X460,R460,MAX(R460,X460)),IF(AND(W460="Yes",OR(Q460="No",Q460="")),X460,IF(AND(OR(W460="No",W460=""),Q460="Yes"),R460,0))))</f>
        <v>0</v>
      </c>
      <c r="AD460" s="69"/>
      <c r="AE460" s="69"/>
      <c r="AF460" t="str">
        <f>IF(AD460="Monthly",Table3[[#This Row],[Assessed Term]]*12,IF(AD460="quarterly",Table3[[#This Row],[Assessed Term]]*4,IF(AD460="annually",Table3[[#This Row],[Assessed Term]]*1,IF(AD460="weekly",Table3[[#This Row],[Assessed Term]]*52,IF(AD460="semiannually",Table3[[#This Row],[Assessed Term]]*2," ")))))</f>
        <v xml:space="preserve"> </v>
      </c>
      <c r="AG460" s="69"/>
      <c r="AH460" s="69"/>
      <c r="AI460" s="73"/>
      <c r="AJ460" s="73"/>
      <c r="AK460" s="73"/>
      <c r="AL460" s="69"/>
      <c r="AM460" s="69"/>
      <c r="AN460" s="120"/>
      <c r="AO460" s="76" t="b">
        <f>IF(K460 = "Lease",+PV(AN460/(AF460/Table3[[#This Row],[Assessed Term]]),AF460,-AI460,0,IF(AE460="Beginning",1,0)))</f>
        <v>0</v>
      </c>
      <c r="AP460" s="69"/>
      <c r="AQ460" s="76">
        <f t="shared" si="44"/>
        <v>0</v>
      </c>
      <c r="AR460" s="72"/>
    </row>
    <row r="461" spans="1:44">
      <c r="A461" s="69"/>
      <c r="B461" s="70"/>
      <c r="C461" s="69"/>
      <c r="D461" s="69"/>
      <c r="E461" s="69"/>
      <c r="F461" s="69"/>
      <c r="G461" s="69"/>
      <c r="H461" s="69"/>
      <c r="I461" s="69"/>
      <c r="J461" s="69"/>
      <c r="K461" t="str">
        <f t="shared" si="45"/>
        <v>Not a Lease</v>
      </c>
      <c r="L461" s="69"/>
      <c r="M461" s="69"/>
      <c r="N461" s="69"/>
      <c r="O461" s="69"/>
      <c r="P461" s="69"/>
      <c r="Q461" s="69"/>
      <c r="R461" s="69"/>
      <c r="S461" s="69"/>
      <c r="T461" s="69"/>
      <c r="U461" s="69"/>
      <c r="V461" s="69"/>
      <c r="W461" s="69"/>
      <c r="X461" s="69"/>
      <c r="Y461" s="69"/>
      <c r="Z461">
        <f t="shared" si="43"/>
        <v>0</v>
      </c>
      <c r="AA461">
        <f t="shared" si="46"/>
        <v>0</v>
      </c>
      <c r="AB461">
        <f t="shared" si="47"/>
        <v>0</v>
      </c>
      <c r="AC461">
        <f>+IF(Table3[[#This Row],[Do Both Parties have to agree for extension to occur?]]="Yes",0,IF(AND(W461="Yes",Q461="Yes"),IF(R461=X461,R461,MAX(R461,X461)),IF(AND(W461="Yes",OR(Q461="No",Q461="")),X461,IF(AND(OR(W461="No",W461=""),Q461="Yes"),R461,0))))</f>
        <v>0</v>
      </c>
      <c r="AD461" s="69"/>
      <c r="AE461" s="69"/>
      <c r="AF461" t="str">
        <f>IF(AD461="Monthly",Table3[[#This Row],[Assessed Term]]*12,IF(AD461="quarterly",Table3[[#This Row],[Assessed Term]]*4,IF(AD461="annually",Table3[[#This Row],[Assessed Term]]*1,IF(AD461="weekly",Table3[[#This Row],[Assessed Term]]*52,IF(AD461="semiannually",Table3[[#This Row],[Assessed Term]]*2," ")))))</f>
        <v xml:space="preserve"> </v>
      </c>
      <c r="AG461" s="69"/>
      <c r="AH461" s="69"/>
      <c r="AI461" s="73"/>
      <c r="AJ461" s="73"/>
      <c r="AK461" s="73"/>
      <c r="AL461" s="69"/>
      <c r="AM461" s="69"/>
      <c r="AN461" s="120"/>
      <c r="AO461" s="76" t="b">
        <f>IF(K461 = "Lease",+PV(AN461/(AF461/Table3[[#This Row],[Assessed Term]]),AF461,-AI461,0,IF(AE461="Beginning",1,0)))</f>
        <v>0</v>
      </c>
      <c r="AP461" s="69"/>
      <c r="AQ461" s="76">
        <f t="shared" si="44"/>
        <v>0</v>
      </c>
      <c r="AR461" s="72"/>
    </row>
    <row r="462" spans="1:44">
      <c r="A462" s="69"/>
      <c r="B462" s="70"/>
      <c r="C462" s="69"/>
      <c r="D462" s="69"/>
      <c r="E462" s="69"/>
      <c r="F462" s="69"/>
      <c r="G462" s="69"/>
      <c r="H462" s="69"/>
      <c r="I462" s="69"/>
      <c r="J462" s="69"/>
      <c r="K462" t="str">
        <f t="shared" si="45"/>
        <v>Not a Lease</v>
      </c>
      <c r="L462" s="69"/>
      <c r="M462" s="69"/>
      <c r="N462" s="69"/>
      <c r="O462" s="69"/>
      <c r="P462" s="69"/>
      <c r="Q462" s="69"/>
      <c r="R462" s="69"/>
      <c r="S462" s="69"/>
      <c r="T462" s="69"/>
      <c r="U462" s="69"/>
      <c r="V462" s="69"/>
      <c r="W462" s="69"/>
      <c r="X462" s="69"/>
      <c r="Y462" s="69"/>
      <c r="Z462">
        <f t="shared" si="43"/>
        <v>0</v>
      </c>
      <c r="AA462">
        <f t="shared" si="46"/>
        <v>0</v>
      </c>
      <c r="AB462">
        <f t="shared" si="47"/>
        <v>0</v>
      </c>
      <c r="AC462">
        <f>+IF(Table3[[#This Row],[Do Both Parties have to agree for extension to occur?]]="Yes",0,IF(AND(W462="Yes",Q462="Yes"),IF(R462=X462,R462,MAX(R462,X462)),IF(AND(W462="Yes",OR(Q462="No",Q462="")),X462,IF(AND(OR(W462="No",W462=""),Q462="Yes"),R462,0))))</f>
        <v>0</v>
      </c>
      <c r="AD462" s="69"/>
      <c r="AE462" s="69"/>
      <c r="AF462" t="str">
        <f>IF(AD462="Monthly",Table3[[#This Row],[Assessed Term]]*12,IF(AD462="quarterly",Table3[[#This Row],[Assessed Term]]*4,IF(AD462="annually",Table3[[#This Row],[Assessed Term]]*1,IF(AD462="weekly",Table3[[#This Row],[Assessed Term]]*52,IF(AD462="semiannually",Table3[[#This Row],[Assessed Term]]*2," ")))))</f>
        <v xml:space="preserve"> </v>
      </c>
      <c r="AG462" s="69"/>
      <c r="AH462" s="69"/>
      <c r="AI462" s="73"/>
      <c r="AJ462" s="73"/>
      <c r="AK462" s="73"/>
      <c r="AL462" s="69"/>
      <c r="AM462" s="69"/>
      <c r="AN462" s="120"/>
      <c r="AO462" s="76" t="b">
        <f>IF(K462 = "Lease",+PV(AN462/(AF462/Table3[[#This Row],[Assessed Term]]),AF462,-AI462,0,IF(AE462="Beginning",1,0)))</f>
        <v>0</v>
      </c>
      <c r="AP462" s="69"/>
      <c r="AQ462" s="76">
        <f t="shared" si="44"/>
        <v>0</v>
      </c>
      <c r="AR462" s="72"/>
    </row>
    <row r="463" spans="1:44">
      <c r="A463" s="69"/>
      <c r="B463" s="70"/>
      <c r="C463" s="69"/>
      <c r="D463" s="69"/>
      <c r="E463" s="69"/>
      <c r="F463" s="69"/>
      <c r="G463" s="69"/>
      <c r="H463" s="69"/>
      <c r="I463" s="69"/>
      <c r="J463" s="69"/>
      <c r="K463" t="str">
        <f t="shared" si="45"/>
        <v>Not a Lease</v>
      </c>
      <c r="L463" s="69"/>
      <c r="M463" s="69"/>
      <c r="N463" s="69"/>
      <c r="O463" s="69"/>
      <c r="P463" s="69"/>
      <c r="Q463" s="69"/>
      <c r="R463" s="69"/>
      <c r="S463" s="69"/>
      <c r="T463" s="69"/>
      <c r="U463" s="69"/>
      <c r="V463" s="69"/>
      <c r="W463" s="69"/>
      <c r="X463" s="69"/>
      <c r="Y463" s="69"/>
      <c r="Z463">
        <f t="shared" si="43"/>
        <v>0</v>
      </c>
      <c r="AA463">
        <f t="shared" si="46"/>
        <v>0</v>
      </c>
      <c r="AB463">
        <f t="shared" si="47"/>
        <v>0</v>
      </c>
      <c r="AC463">
        <f>+IF(Table3[[#This Row],[Do Both Parties have to agree for extension to occur?]]="Yes",0,IF(AND(W463="Yes",Q463="Yes"),IF(R463=X463,R463,MAX(R463,X463)),IF(AND(W463="Yes",OR(Q463="No",Q463="")),X463,IF(AND(OR(W463="No",W463=""),Q463="Yes"),R463,0))))</f>
        <v>0</v>
      </c>
      <c r="AD463" s="69"/>
      <c r="AE463" s="69"/>
      <c r="AF463" t="str">
        <f>IF(AD463="Monthly",Table3[[#This Row],[Assessed Term]]*12,IF(AD463="quarterly",Table3[[#This Row],[Assessed Term]]*4,IF(AD463="annually",Table3[[#This Row],[Assessed Term]]*1,IF(AD463="weekly",Table3[[#This Row],[Assessed Term]]*52,IF(AD463="semiannually",Table3[[#This Row],[Assessed Term]]*2," ")))))</f>
        <v xml:space="preserve"> </v>
      </c>
      <c r="AG463" s="69"/>
      <c r="AH463" s="69"/>
      <c r="AI463" s="73"/>
      <c r="AJ463" s="73"/>
      <c r="AK463" s="73"/>
      <c r="AL463" s="69"/>
      <c r="AM463" s="69"/>
      <c r="AN463" s="120"/>
      <c r="AO463" s="76" t="b">
        <f>IF(K463 = "Lease",+PV(AN463/(AF463/Table3[[#This Row],[Assessed Term]]),AF463,-AI463,0,IF(AE463="Beginning",1,0)))</f>
        <v>0</v>
      </c>
      <c r="AP463" s="69"/>
      <c r="AQ463" s="76">
        <f t="shared" si="44"/>
        <v>0</v>
      </c>
      <c r="AR463" s="72"/>
    </row>
    <row r="464" spans="1:44">
      <c r="A464" s="69"/>
      <c r="B464" s="70"/>
      <c r="C464" s="69"/>
      <c r="D464" s="69"/>
      <c r="E464" s="69"/>
      <c r="F464" s="69"/>
      <c r="G464" s="69"/>
      <c r="H464" s="69"/>
      <c r="I464" s="69"/>
      <c r="J464" s="69"/>
      <c r="K464" t="str">
        <f t="shared" si="45"/>
        <v>Not a Lease</v>
      </c>
      <c r="L464" s="69"/>
      <c r="M464" s="69"/>
      <c r="N464" s="69"/>
      <c r="O464" s="69"/>
      <c r="P464" s="69"/>
      <c r="Q464" s="69"/>
      <c r="R464" s="69"/>
      <c r="S464" s="69"/>
      <c r="T464" s="69"/>
      <c r="U464" s="69"/>
      <c r="V464" s="69"/>
      <c r="W464" s="69"/>
      <c r="X464" s="69"/>
      <c r="Y464" s="69"/>
      <c r="Z464">
        <f t="shared" si="43"/>
        <v>0</v>
      </c>
      <c r="AA464">
        <f t="shared" si="46"/>
        <v>0</v>
      </c>
      <c r="AB464">
        <f t="shared" si="47"/>
        <v>0</v>
      </c>
      <c r="AC464">
        <f>+IF(Table3[[#This Row],[Do Both Parties have to agree for extension to occur?]]="Yes",0,IF(AND(W464="Yes",Q464="Yes"),IF(R464=X464,R464,MAX(R464,X464)),IF(AND(W464="Yes",OR(Q464="No",Q464="")),X464,IF(AND(OR(W464="No",W464=""),Q464="Yes"),R464,0))))</f>
        <v>0</v>
      </c>
      <c r="AD464" s="69"/>
      <c r="AE464" s="69"/>
      <c r="AF464" t="str">
        <f>IF(AD464="Monthly",Table3[[#This Row],[Assessed Term]]*12,IF(AD464="quarterly",Table3[[#This Row],[Assessed Term]]*4,IF(AD464="annually",Table3[[#This Row],[Assessed Term]]*1,IF(AD464="weekly",Table3[[#This Row],[Assessed Term]]*52,IF(AD464="semiannually",Table3[[#This Row],[Assessed Term]]*2," ")))))</f>
        <v xml:space="preserve"> </v>
      </c>
      <c r="AG464" s="69"/>
      <c r="AH464" s="69"/>
      <c r="AI464" s="73"/>
      <c r="AJ464" s="73"/>
      <c r="AK464" s="73"/>
      <c r="AL464" s="69"/>
      <c r="AM464" s="69"/>
      <c r="AN464" s="120"/>
      <c r="AO464" s="76" t="b">
        <f>IF(K464 = "Lease",+PV(AN464/(AF464/Table3[[#This Row],[Assessed Term]]),AF464,-AI464,0,IF(AE464="Beginning",1,0)))</f>
        <v>0</v>
      </c>
      <c r="AP464" s="69"/>
      <c r="AQ464" s="76">
        <f t="shared" si="44"/>
        <v>0</v>
      </c>
      <c r="AR464" s="72"/>
    </row>
    <row r="465" spans="1:44">
      <c r="A465" s="69"/>
      <c r="B465" s="70"/>
      <c r="C465" s="69"/>
      <c r="D465" s="69"/>
      <c r="E465" s="69"/>
      <c r="F465" s="69"/>
      <c r="G465" s="69"/>
      <c r="H465" s="69"/>
      <c r="I465" s="69"/>
      <c r="J465" s="69"/>
      <c r="K465" t="str">
        <f t="shared" si="45"/>
        <v>Not a Lease</v>
      </c>
      <c r="L465" s="69"/>
      <c r="M465" s="69"/>
      <c r="N465" s="69"/>
      <c r="O465" s="69"/>
      <c r="P465" s="69"/>
      <c r="Q465" s="69"/>
      <c r="R465" s="69"/>
      <c r="S465" s="69"/>
      <c r="T465" s="69"/>
      <c r="U465" s="69"/>
      <c r="V465" s="69"/>
      <c r="W465" s="69"/>
      <c r="X465" s="69"/>
      <c r="Y465" s="69"/>
      <c r="Z465">
        <f t="shared" si="43"/>
        <v>0</v>
      </c>
      <c r="AA465">
        <f t="shared" si="46"/>
        <v>0</v>
      </c>
      <c r="AB465">
        <f t="shared" si="47"/>
        <v>0</v>
      </c>
      <c r="AC465">
        <f>+IF(Table3[[#This Row],[Do Both Parties have to agree for extension to occur?]]="Yes",0,IF(AND(W465="Yes",Q465="Yes"),IF(R465=X465,R465,MAX(R465,X465)),IF(AND(W465="Yes",OR(Q465="No",Q465="")),X465,IF(AND(OR(W465="No",W465=""),Q465="Yes"),R465,0))))</f>
        <v>0</v>
      </c>
      <c r="AD465" s="69"/>
      <c r="AE465" s="69"/>
      <c r="AF465" t="str">
        <f>IF(AD465="Monthly",Table3[[#This Row],[Assessed Term]]*12,IF(AD465="quarterly",Table3[[#This Row],[Assessed Term]]*4,IF(AD465="annually",Table3[[#This Row],[Assessed Term]]*1,IF(AD465="weekly",Table3[[#This Row],[Assessed Term]]*52,IF(AD465="semiannually",Table3[[#This Row],[Assessed Term]]*2," ")))))</f>
        <v xml:space="preserve"> </v>
      </c>
      <c r="AG465" s="69"/>
      <c r="AH465" s="69"/>
      <c r="AI465" s="73"/>
      <c r="AJ465" s="73"/>
      <c r="AK465" s="73"/>
      <c r="AL465" s="69"/>
      <c r="AM465" s="69"/>
      <c r="AN465" s="120"/>
      <c r="AO465" s="76" t="b">
        <f>IF(K465 = "Lease",+PV(AN465/(AF465/Table3[[#This Row],[Assessed Term]]),AF465,-AI465,0,IF(AE465="Beginning",1,0)))</f>
        <v>0</v>
      </c>
      <c r="AP465" s="69"/>
      <c r="AQ465" s="76">
        <f t="shared" si="44"/>
        <v>0</v>
      </c>
      <c r="AR465" s="72"/>
    </row>
    <row r="466" spans="1:44">
      <c r="A466" s="69"/>
      <c r="B466" s="70"/>
      <c r="C466" s="69"/>
      <c r="D466" s="69"/>
      <c r="E466" s="69"/>
      <c r="F466" s="69"/>
      <c r="G466" s="69"/>
      <c r="H466" s="69"/>
      <c r="I466" s="69"/>
      <c r="J466" s="69"/>
      <c r="K466" t="str">
        <f t="shared" si="45"/>
        <v>Not a Lease</v>
      </c>
      <c r="L466" s="69"/>
      <c r="M466" s="69"/>
      <c r="N466" s="69"/>
      <c r="O466" s="69"/>
      <c r="P466" s="69"/>
      <c r="Q466" s="69"/>
      <c r="R466" s="69"/>
      <c r="S466" s="69"/>
      <c r="T466" s="69"/>
      <c r="U466" s="69"/>
      <c r="V466" s="69"/>
      <c r="W466" s="69"/>
      <c r="X466" s="69"/>
      <c r="Y466" s="69"/>
      <c r="Z466">
        <f t="shared" si="43"/>
        <v>0</v>
      </c>
      <c r="AA466">
        <f t="shared" si="46"/>
        <v>0</v>
      </c>
      <c r="AB466">
        <f t="shared" si="47"/>
        <v>0</v>
      </c>
      <c r="AC466">
        <f>+IF(Table3[[#This Row],[Do Both Parties have to agree for extension to occur?]]="Yes",0,IF(AND(W466="Yes",Q466="Yes"),IF(R466=X466,R466,MAX(R466,X466)),IF(AND(W466="Yes",OR(Q466="No",Q466="")),X466,IF(AND(OR(W466="No",W466=""),Q466="Yes"),R466,0))))</f>
        <v>0</v>
      </c>
      <c r="AD466" s="69"/>
      <c r="AE466" s="69"/>
      <c r="AF466" t="str">
        <f>IF(AD466="Monthly",Table3[[#This Row],[Assessed Term]]*12,IF(AD466="quarterly",Table3[[#This Row],[Assessed Term]]*4,IF(AD466="annually",Table3[[#This Row],[Assessed Term]]*1,IF(AD466="weekly",Table3[[#This Row],[Assessed Term]]*52,IF(AD466="semiannually",Table3[[#This Row],[Assessed Term]]*2," ")))))</f>
        <v xml:space="preserve"> </v>
      </c>
      <c r="AG466" s="69"/>
      <c r="AH466" s="69"/>
      <c r="AI466" s="73"/>
      <c r="AJ466" s="73"/>
      <c r="AK466" s="73"/>
      <c r="AL466" s="69"/>
      <c r="AM466" s="69"/>
      <c r="AN466" s="120"/>
      <c r="AO466" s="76" t="b">
        <f>IF(K466 = "Lease",+PV(AN466/(AF466/Table3[[#This Row],[Assessed Term]]),AF466,-AI466,0,IF(AE466="Beginning",1,0)))</f>
        <v>0</v>
      </c>
      <c r="AP466" s="69"/>
      <c r="AQ466" s="76">
        <f t="shared" si="44"/>
        <v>0</v>
      </c>
      <c r="AR466" s="72"/>
    </row>
    <row r="467" spans="1:44">
      <c r="A467" s="69"/>
      <c r="B467" s="70"/>
      <c r="C467" s="69"/>
      <c r="D467" s="69"/>
      <c r="E467" s="69"/>
      <c r="F467" s="69"/>
      <c r="G467" s="69"/>
      <c r="H467" s="69"/>
      <c r="I467" s="69"/>
      <c r="J467" s="69"/>
      <c r="K467" t="str">
        <f t="shared" si="45"/>
        <v>Not a Lease</v>
      </c>
      <c r="L467" s="69"/>
      <c r="M467" s="69"/>
      <c r="N467" s="69"/>
      <c r="O467" s="69"/>
      <c r="P467" s="69"/>
      <c r="Q467" s="69"/>
      <c r="R467" s="69"/>
      <c r="S467" s="69"/>
      <c r="T467" s="69"/>
      <c r="U467" s="69"/>
      <c r="V467" s="69"/>
      <c r="W467" s="69"/>
      <c r="X467" s="69"/>
      <c r="Y467" s="69"/>
      <c r="Z467">
        <f t="shared" si="43"/>
        <v>0</v>
      </c>
      <c r="AA467">
        <f t="shared" si="46"/>
        <v>0</v>
      </c>
      <c r="AB467">
        <f t="shared" si="47"/>
        <v>0</v>
      </c>
      <c r="AC467">
        <f>+IF(Table3[[#This Row],[Do Both Parties have to agree for extension to occur?]]="Yes",0,IF(AND(W467="Yes",Q467="Yes"),IF(R467=X467,R467,MAX(R467,X467)),IF(AND(W467="Yes",OR(Q467="No",Q467="")),X467,IF(AND(OR(W467="No",W467=""),Q467="Yes"),R467,0))))</f>
        <v>0</v>
      </c>
      <c r="AD467" s="69"/>
      <c r="AE467" s="69"/>
      <c r="AF467" t="str">
        <f>IF(AD467="Monthly",Table3[[#This Row],[Assessed Term]]*12,IF(AD467="quarterly",Table3[[#This Row],[Assessed Term]]*4,IF(AD467="annually",Table3[[#This Row],[Assessed Term]]*1,IF(AD467="weekly",Table3[[#This Row],[Assessed Term]]*52,IF(AD467="semiannually",Table3[[#This Row],[Assessed Term]]*2," ")))))</f>
        <v xml:space="preserve"> </v>
      </c>
      <c r="AG467" s="69"/>
      <c r="AH467" s="69"/>
      <c r="AI467" s="73"/>
      <c r="AJ467" s="73"/>
      <c r="AK467" s="73"/>
      <c r="AL467" s="69"/>
      <c r="AM467" s="69"/>
      <c r="AN467" s="120"/>
      <c r="AO467" s="76" t="b">
        <f>IF(K467 = "Lease",+PV(AN467/(AF467/Table3[[#This Row],[Assessed Term]]),AF467,-AI467,0,IF(AE467="Beginning",1,0)))</f>
        <v>0</v>
      </c>
      <c r="AP467" s="69"/>
      <c r="AQ467" s="76">
        <f t="shared" si="44"/>
        <v>0</v>
      </c>
      <c r="AR467" s="72"/>
    </row>
    <row r="468" spans="1:44">
      <c r="A468" s="69"/>
      <c r="B468" s="70"/>
      <c r="C468" s="69"/>
      <c r="D468" s="69"/>
      <c r="E468" s="69"/>
      <c r="F468" s="69"/>
      <c r="G468" s="69"/>
      <c r="H468" s="69"/>
      <c r="I468" s="69"/>
      <c r="J468" s="69"/>
      <c r="K468" t="str">
        <f t="shared" si="45"/>
        <v>Not a Lease</v>
      </c>
      <c r="L468" s="69"/>
      <c r="M468" s="69"/>
      <c r="N468" s="69"/>
      <c r="O468" s="69"/>
      <c r="P468" s="69"/>
      <c r="Q468" s="69"/>
      <c r="R468" s="69"/>
      <c r="S468" s="69"/>
      <c r="T468" s="69"/>
      <c r="U468" s="69"/>
      <c r="V468" s="69"/>
      <c r="W468" s="69"/>
      <c r="X468" s="69"/>
      <c r="Y468" s="69"/>
      <c r="Z468">
        <f t="shared" si="43"/>
        <v>0</v>
      </c>
      <c r="AA468">
        <f t="shared" si="46"/>
        <v>0</v>
      </c>
      <c r="AB468">
        <f t="shared" si="47"/>
        <v>0</v>
      </c>
      <c r="AC468">
        <f>+IF(Table3[[#This Row],[Do Both Parties have to agree for extension to occur?]]="Yes",0,IF(AND(W468="Yes",Q468="Yes"),IF(R468=X468,R468,MAX(R468,X468)),IF(AND(W468="Yes",OR(Q468="No",Q468="")),X468,IF(AND(OR(W468="No",W468=""),Q468="Yes"),R468,0))))</f>
        <v>0</v>
      </c>
      <c r="AD468" s="69"/>
      <c r="AE468" s="69"/>
      <c r="AF468" t="str">
        <f>IF(AD468="Monthly",Table3[[#This Row],[Assessed Term]]*12,IF(AD468="quarterly",Table3[[#This Row],[Assessed Term]]*4,IF(AD468="annually",Table3[[#This Row],[Assessed Term]]*1,IF(AD468="weekly",Table3[[#This Row],[Assessed Term]]*52,IF(AD468="semiannually",Table3[[#This Row],[Assessed Term]]*2," ")))))</f>
        <v xml:space="preserve"> </v>
      </c>
      <c r="AG468" s="69"/>
      <c r="AH468" s="69"/>
      <c r="AI468" s="73"/>
      <c r="AJ468" s="73"/>
      <c r="AK468" s="73"/>
      <c r="AL468" s="69"/>
      <c r="AM468" s="69"/>
      <c r="AN468" s="120"/>
      <c r="AO468" s="76" t="b">
        <f>IF(K468 = "Lease",+PV(AN468/(AF468/Table3[[#This Row],[Assessed Term]]),AF468,-AI468,0,IF(AE468="Beginning",1,0)))</f>
        <v>0</v>
      </c>
      <c r="AP468" s="69"/>
      <c r="AQ468" s="76">
        <f t="shared" si="44"/>
        <v>0</v>
      </c>
      <c r="AR468" s="72"/>
    </row>
    <row r="469" spans="1:44">
      <c r="A469" s="69"/>
      <c r="B469" s="70"/>
      <c r="C469" s="69"/>
      <c r="D469" s="69"/>
      <c r="E469" s="69"/>
      <c r="F469" s="69"/>
      <c r="G469" s="69"/>
      <c r="H469" s="69"/>
      <c r="I469" s="69"/>
      <c r="J469" s="69"/>
      <c r="K469" t="str">
        <f t="shared" si="45"/>
        <v>Not a Lease</v>
      </c>
      <c r="L469" s="69"/>
      <c r="M469" s="69"/>
      <c r="N469" s="69"/>
      <c r="O469" s="69"/>
      <c r="P469" s="69"/>
      <c r="Q469" s="69"/>
      <c r="R469" s="69"/>
      <c r="S469" s="69"/>
      <c r="T469" s="69"/>
      <c r="U469" s="69"/>
      <c r="V469" s="69"/>
      <c r="W469" s="69"/>
      <c r="X469" s="69"/>
      <c r="Y469" s="69"/>
      <c r="Z469">
        <f t="shared" si="43"/>
        <v>0</v>
      </c>
      <c r="AA469">
        <f t="shared" si="46"/>
        <v>0</v>
      </c>
      <c r="AB469">
        <f t="shared" si="47"/>
        <v>0</v>
      </c>
      <c r="AC469">
        <f>+IF(Table3[[#This Row],[Do Both Parties have to agree for extension to occur?]]="Yes",0,IF(AND(W469="Yes",Q469="Yes"),IF(R469=X469,R469,MAX(R469,X469)),IF(AND(W469="Yes",OR(Q469="No",Q469="")),X469,IF(AND(OR(W469="No",W469=""),Q469="Yes"),R469,0))))</f>
        <v>0</v>
      </c>
      <c r="AD469" s="69"/>
      <c r="AE469" s="69"/>
      <c r="AF469" t="str">
        <f>IF(AD469="Monthly",Table3[[#This Row],[Assessed Term]]*12,IF(AD469="quarterly",Table3[[#This Row],[Assessed Term]]*4,IF(AD469="annually",Table3[[#This Row],[Assessed Term]]*1,IF(AD469="weekly",Table3[[#This Row],[Assessed Term]]*52,IF(AD469="semiannually",Table3[[#This Row],[Assessed Term]]*2," ")))))</f>
        <v xml:space="preserve"> </v>
      </c>
      <c r="AG469" s="69"/>
      <c r="AH469" s="69"/>
      <c r="AI469" s="73"/>
      <c r="AJ469" s="73"/>
      <c r="AK469" s="73"/>
      <c r="AL469" s="69"/>
      <c r="AM469" s="69"/>
      <c r="AN469" s="120"/>
      <c r="AO469" s="76" t="b">
        <f>IF(K469 = "Lease",+PV(AN469/(AF469/Table3[[#This Row],[Assessed Term]]),AF469,-AI469,0,IF(AE469="Beginning",1,0)))</f>
        <v>0</v>
      </c>
      <c r="AP469" s="69"/>
      <c r="AQ469" s="76">
        <f t="shared" si="44"/>
        <v>0</v>
      </c>
      <c r="AR469" s="72"/>
    </row>
    <row r="470" spans="1:44">
      <c r="A470" s="69"/>
      <c r="B470" s="70"/>
      <c r="C470" s="69"/>
      <c r="D470" s="69"/>
      <c r="E470" s="69"/>
      <c r="F470" s="69"/>
      <c r="G470" s="69"/>
      <c r="H470" s="69"/>
      <c r="I470" s="69"/>
      <c r="J470" s="69"/>
      <c r="K470" t="str">
        <f t="shared" si="45"/>
        <v>Not a Lease</v>
      </c>
      <c r="L470" s="69"/>
      <c r="M470" s="69"/>
      <c r="N470" s="69"/>
      <c r="O470" s="69"/>
      <c r="P470" s="69"/>
      <c r="Q470" s="69"/>
      <c r="R470" s="69"/>
      <c r="S470" s="69"/>
      <c r="T470" s="69"/>
      <c r="U470" s="69"/>
      <c r="V470" s="69"/>
      <c r="W470" s="69"/>
      <c r="X470" s="69"/>
      <c r="Y470" s="69"/>
      <c r="Z470">
        <f t="shared" si="43"/>
        <v>0</v>
      </c>
      <c r="AA470">
        <f t="shared" si="46"/>
        <v>0</v>
      </c>
      <c r="AB470">
        <f t="shared" si="47"/>
        <v>0</v>
      </c>
      <c r="AC470">
        <f>+IF(Table3[[#This Row],[Do Both Parties have to agree for extension to occur?]]="Yes",0,IF(AND(W470="Yes",Q470="Yes"),IF(R470=X470,R470,MAX(R470,X470)),IF(AND(W470="Yes",OR(Q470="No",Q470="")),X470,IF(AND(OR(W470="No",W470=""),Q470="Yes"),R470,0))))</f>
        <v>0</v>
      </c>
      <c r="AD470" s="69"/>
      <c r="AE470" s="69"/>
      <c r="AF470" t="str">
        <f>IF(AD470="Monthly",Table3[[#This Row],[Assessed Term]]*12,IF(AD470="quarterly",Table3[[#This Row],[Assessed Term]]*4,IF(AD470="annually",Table3[[#This Row],[Assessed Term]]*1,IF(AD470="weekly",Table3[[#This Row],[Assessed Term]]*52,IF(AD470="semiannually",Table3[[#This Row],[Assessed Term]]*2," ")))))</f>
        <v xml:space="preserve"> </v>
      </c>
      <c r="AG470" s="69"/>
      <c r="AH470" s="69"/>
      <c r="AI470" s="73"/>
      <c r="AJ470" s="73"/>
      <c r="AK470" s="73"/>
      <c r="AL470" s="69"/>
      <c r="AM470" s="69"/>
      <c r="AN470" s="120"/>
      <c r="AO470" s="76" t="b">
        <f>IF(K470 = "Lease",+PV(AN470/(AF470/Table3[[#This Row],[Assessed Term]]),AF470,-AI470,0,IF(AE470="Beginning",1,0)))</f>
        <v>0</v>
      </c>
      <c r="AP470" s="69"/>
      <c r="AQ470" s="76">
        <f t="shared" si="44"/>
        <v>0</v>
      </c>
      <c r="AR470" s="72"/>
    </row>
    <row r="471" spans="1:44">
      <c r="A471" s="69"/>
      <c r="B471" s="70"/>
      <c r="C471" s="69"/>
      <c r="D471" s="69"/>
      <c r="E471" s="69"/>
      <c r="F471" s="69"/>
      <c r="G471" s="69"/>
      <c r="H471" s="69"/>
      <c r="I471" s="69"/>
      <c r="J471" s="69"/>
      <c r="K471" t="str">
        <f t="shared" si="45"/>
        <v>Not a Lease</v>
      </c>
      <c r="L471" s="69"/>
      <c r="M471" s="69"/>
      <c r="N471" s="69"/>
      <c r="O471" s="69"/>
      <c r="P471" s="69"/>
      <c r="Q471" s="69"/>
      <c r="R471" s="69"/>
      <c r="S471" s="69"/>
      <c r="T471" s="69"/>
      <c r="U471" s="69"/>
      <c r="V471" s="69"/>
      <c r="W471" s="69"/>
      <c r="X471" s="69"/>
      <c r="Y471" s="69"/>
      <c r="Z471">
        <f t="shared" si="43"/>
        <v>0</v>
      </c>
      <c r="AA471">
        <f t="shared" si="46"/>
        <v>0</v>
      </c>
      <c r="AB471">
        <f t="shared" si="47"/>
        <v>0</v>
      </c>
      <c r="AC471">
        <f>+IF(Table3[[#This Row],[Do Both Parties have to agree for extension to occur?]]="Yes",0,IF(AND(W471="Yes",Q471="Yes"),IF(R471=X471,R471,MAX(R471,X471)),IF(AND(W471="Yes",OR(Q471="No",Q471="")),X471,IF(AND(OR(W471="No",W471=""),Q471="Yes"),R471,0))))</f>
        <v>0</v>
      </c>
      <c r="AD471" s="69"/>
      <c r="AE471" s="69"/>
      <c r="AF471" t="str">
        <f>IF(AD471="Monthly",Table3[[#This Row],[Assessed Term]]*12,IF(AD471="quarterly",Table3[[#This Row],[Assessed Term]]*4,IF(AD471="annually",Table3[[#This Row],[Assessed Term]]*1,IF(AD471="weekly",Table3[[#This Row],[Assessed Term]]*52,IF(AD471="semiannually",Table3[[#This Row],[Assessed Term]]*2," ")))))</f>
        <v xml:space="preserve"> </v>
      </c>
      <c r="AG471" s="69"/>
      <c r="AH471" s="69"/>
      <c r="AI471" s="73"/>
      <c r="AJ471" s="73"/>
      <c r="AK471" s="73"/>
      <c r="AL471" s="69"/>
      <c r="AM471" s="69"/>
      <c r="AN471" s="120"/>
      <c r="AO471" s="76" t="b">
        <f>IF(K471 = "Lease",+PV(AN471/(AF471/Table3[[#This Row],[Assessed Term]]),AF471,-AI471,0,IF(AE471="Beginning",1,0)))</f>
        <v>0</v>
      </c>
      <c r="AP471" s="69"/>
      <c r="AQ471" s="76">
        <f t="shared" si="44"/>
        <v>0</v>
      </c>
      <c r="AR471" s="72"/>
    </row>
    <row r="472" spans="1:44">
      <c r="A472" s="69"/>
      <c r="B472" s="70"/>
      <c r="C472" s="69"/>
      <c r="D472" s="69"/>
      <c r="E472" s="69"/>
      <c r="F472" s="69"/>
      <c r="G472" s="69"/>
      <c r="H472" s="69"/>
      <c r="I472" s="69"/>
      <c r="J472" s="69"/>
      <c r="K472" t="str">
        <f t="shared" si="45"/>
        <v>Not a Lease</v>
      </c>
      <c r="L472" s="69"/>
      <c r="M472" s="69"/>
      <c r="N472" s="69"/>
      <c r="O472" s="69"/>
      <c r="P472" s="69"/>
      <c r="Q472" s="69"/>
      <c r="R472" s="69"/>
      <c r="S472" s="69"/>
      <c r="T472" s="69"/>
      <c r="U472" s="69"/>
      <c r="V472" s="69"/>
      <c r="W472" s="69"/>
      <c r="X472" s="69"/>
      <c r="Y472" s="69"/>
      <c r="Z472">
        <f t="shared" si="43"/>
        <v>0</v>
      </c>
      <c r="AA472">
        <f t="shared" si="46"/>
        <v>0</v>
      </c>
      <c r="AB472">
        <f t="shared" si="47"/>
        <v>0</v>
      </c>
      <c r="AC472">
        <f>+IF(Table3[[#This Row],[Do Both Parties have to agree for extension to occur?]]="Yes",0,IF(AND(W472="Yes",Q472="Yes"),IF(R472=X472,R472,MAX(R472,X472)),IF(AND(W472="Yes",OR(Q472="No",Q472="")),X472,IF(AND(OR(W472="No",W472=""),Q472="Yes"),R472,0))))</f>
        <v>0</v>
      </c>
      <c r="AD472" s="69"/>
      <c r="AE472" s="69"/>
      <c r="AF472" t="str">
        <f>IF(AD472="Monthly",Table3[[#This Row],[Assessed Term]]*12,IF(AD472="quarterly",Table3[[#This Row],[Assessed Term]]*4,IF(AD472="annually",Table3[[#This Row],[Assessed Term]]*1,IF(AD472="weekly",Table3[[#This Row],[Assessed Term]]*52,IF(AD472="semiannually",Table3[[#This Row],[Assessed Term]]*2," ")))))</f>
        <v xml:space="preserve"> </v>
      </c>
      <c r="AG472" s="69"/>
      <c r="AH472" s="69"/>
      <c r="AI472" s="73"/>
      <c r="AJ472" s="73"/>
      <c r="AK472" s="73"/>
      <c r="AL472" s="69"/>
      <c r="AM472" s="69"/>
      <c r="AN472" s="120"/>
      <c r="AO472" s="76" t="b">
        <f>IF(K472 = "Lease",+PV(AN472/(AF472/Table3[[#This Row],[Assessed Term]]),AF472,-AI472,0,IF(AE472="Beginning",1,0)))</f>
        <v>0</v>
      </c>
      <c r="AP472" s="69"/>
      <c r="AQ472" s="76">
        <f t="shared" si="44"/>
        <v>0</v>
      </c>
      <c r="AR472" s="72"/>
    </row>
    <row r="473" spans="1:44">
      <c r="A473" s="69"/>
      <c r="B473" s="70"/>
      <c r="C473" s="69"/>
      <c r="D473" s="69"/>
      <c r="E473" s="69"/>
      <c r="F473" s="69"/>
      <c r="G473" s="69"/>
      <c r="H473" s="69"/>
      <c r="I473" s="69"/>
      <c r="J473" s="69"/>
      <c r="K473" t="str">
        <f t="shared" si="45"/>
        <v>Not a Lease</v>
      </c>
      <c r="L473" s="69"/>
      <c r="M473" s="69"/>
      <c r="N473" s="69"/>
      <c r="O473" s="69"/>
      <c r="P473" s="69"/>
      <c r="Q473" s="69"/>
      <c r="R473" s="69"/>
      <c r="S473" s="69"/>
      <c r="T473" s="69"/>
      <c r="U473" s="69"/>
      <c r="V473" s="69"/>
      <c r="W473" s="69"/>
      <c r="X473" s="69"/>
      <c r="Y473" s="69"/>
      <c r="Z473">
        <f t="shared" si="43"/>
        <v>0</v>
      </c>
      <c r="AA473">
        <f t="shared" si="46"/>
        <v>0</v>
      </c>
      <c r="AB473">
        <f t="shared" si="47"/>
        <v>0</v>
      </c>
      <c r="AC473">
        <f>+IF(Table3[[#This Row],[Do Both Parties have to agree for extension to occur?]]="Yes",0,IF(AND(W473="Yes",Q473="Yes"),IF(R473=X473,R473,MAX(R473,X473)),IF(AND(W473="Yes",OR(Q473="No",Q473="")),X473,IF(AND(OR(W473="No",W473=""),Q473="Yes"),R473,0))))</f>
        <v>0</v>
      </c>
      <c r="AD473" s="69"/>
      <c r="AE473" s="69"/>
      <c r="AF473" t="str">
        <f>IF(AD473="Monthly",Table3[[#This Row],[Assessed Term]]*12,IF(AD473="quarterly",Table3[[#This Row],[Assessed Term]]*4,IF(AD473="annually",Table3[[#This Row],[Assessed Term]]*1,IF(AD473="weekly",Table3[[#This Row],[Assessed Term]]*52,IF(AD473="semiannually",Table3[[#This Row],[Assessed Term]]*2," ")))))</f>
        <v xml:space="preserve"> </v>
      </c>
      <c r="AG473" s="69"/>
      <c r="AH473" s="69"/>
      <c r="AI473" s="73"/>
      <c r="AJ473" s="73"/>
      <c r="AK473" s="73"/>
      <c r="AL473" s="69"/>
      <c r="AM473" s="69"/>
      <c r="AN473" s="120"/>
      <c r="AO473" s="76" t="b">
        <f>IF(K473 = "Lease",+PV(AN473/(AF473/Table3[[#This Row],[Assessed Term]]),AF473,-AI473,0,IF(AE473="Beginning",1,0)))</f>
        <v>0</v>
      </c>
      <c r="AP473" s="69"/>
      <c r="AQ473" s="76">
        <f t="shared" si="44"/>
        <v>0</v>
      </c>
      <c r="AR473" s="72"/>
    </row>
    <row r="474" spans="1:44">
      <c r="A474" s="69"/>
      <c r="B474" s="70"/>
      <c r="C474" s="69"/>
      <c r="D474" s="69"/>
      <c r="E474" s="69"/>
      <c r="F474" s="69"/>
      <c r="G474" s="69"/>
      <c r="H474" s="69"/>
      <c r="I474" s="69"/>
      <c r="J474" s="69"/>
      <c r="K474" t="str">
        <f t="shared" si="45"/>
        <v>Not a Lease</v>
      </c>
      <c r="L474" s="69"/>
      <c r="M474" s="69"/>
      <c r="N474" s="69"/>
      <c r="O474" s="69"/>
      <c r="P474" s="69"/>
      <c r="Q474" s="69"/>
      <c r="R474" s="69"/>
      <c r="S474" s="69"/>
      <c r="T474" s="69"/>
      <c r="U474" s="69"/>
      <c r="V474" s="69"/>
      <c r="W474" s="69"/>
      <c r="X474" s="69"/>
      <c r="Y474" s="69"/>
      <c r="Z474">
        <f t="shared" si="43"/>
        <v>0</v>
      </c>
      <c r="AA474">
        <f t="shared" si="46"/>
        <v>0</v>
      </c>
      <c r="AB474">
        <f t="shared" si="47"/>
        <v>0</v>
      </c>
      <c r="AC474">
        <f>+IF(Table3[[#This Row],[Do Both Parties have to agree for extension to occur?]]="Yes",0,IF(AND(W474="Yes",Q474="Yes"),IF(R474=X474,R474,MAX(R474,X474)),IF(AND(W474="Yes",OR(Q474="No",Q474="")),X474,IF(AND(OR(W474="No",W474=""),Q474="Yes"),R474,0))))</f>
        <v>0</v>
      </c>
      <c r="AD474" s="69"/>
      <c r="AE474" s="69"/>
      <c r="AF474" t="str">
        <f>IF(AD474="Monthly",Table3[[#This Row],[Assessed Term]]*12,IF(AD474="quarterly",Table3[[#This Row],[Assessed Term]]*4,IF(AD474="annually",Table3[[#This Row],[Assessed Term]]*1,IF(AD474="weekly",Table3[[#This Row],[Assessed Term]]*52,IF(AD474="semiannually",Table3[[#This Row],[Assessed Term]]*2," ")))))</f>
        <v xml:space="preserve"> </v>
      </c>
      <c r="AG474" s="69"/>
      <c r="AH474" s="69"/>
      <c r="AI474" s="73"/>
      <c r="AJ474" s="73"/>
      <c r="AK474" s="73"/>
      <c r="AL474" s="69"/>
      <c r="AM474" s="69"/>
      <c r="AN474" s="120"/>
      <c r="AO474" s="76" t="b">
        <f>IF(K474 = "Lease",+PV(AN474/(AF474/Table3[[#This Row],[Assessed Term]]),AF474,-AI474,0,IF(AE474="Beginning",1,0)))</f>
        <v>0</v>
      </c>
      <c r="AP474" s="69"/>
      <c r="AQ474" s="76">
        <f t="shared" si="44"/>
        <v>0</v>
      </c>
      <c r="AR474" s="72"/>
    </row>
    <row r="475" spans="1:44">
      <c r="A475" s="69"/>
      <c r="B475" s="70"/>
      <c r="C475" s="69"/>
      <c r="D475" s="69"/>
      <c r="E475" s="69"/>
      <c r="F475" s="69"/>
      <c r="G475" s="69"/>
      <c r="H475" s="69"/>
      <c r="I475" s="69"/>
      <c r="J475" s="69"/>
      <c r="K475" t="str">
        <f t="shared" si="45"/>
        <v>Not a Lease</v>
      </c>
      <c r="L475" s="69"/>
      <c r="M475" s="69"/>
      <c r="N475" s="69"/>
      <c r="O475" s="69"/>
      <c r="P475" s="69"/>
      <c r="Q475" s="69"/>
      <c r="R475" s="69"/>
      <c r="S475" s="69"/>
      <c r="T475" s="69"/>
      <c r="U475" s="69"/>
      <c r="V475" s="69"/>
      <c r="W475" s="69"/>
      <c r="X475" s="69"/>
      <c r="Y475" s="69"/>
      <c r="Z475">
        <f t="shared" si="43"/>
        <v>0</v>
      </c>
      <c r="AA475">
        <f t="shared" si="46"/>
        <v>0</v>
      </c>
      <c r="AB475">
        <f t="shared" si="47"/>
        <v>0</v>
      </c>
      <c r="AC475">
        <f>+IF(Table3[[#This Row],[Do Both Parties have to agree for extension to occur?]]="Yes",0,IF(AND(W475="Yes",Q475="Yes"),IF(R475=X475,R475,MAX(R475,X475)),IF(AND(W475="Yes",OR(Q475="No",Q475="")),X475,IF(AND(OR(W475="No",W475=""),Q475="Yes"),R475,0))))</f>
        <v>0</v>
      </c>
      <c r="AD475" s="69"/>
      <c r="AE475" s="69"/>
      <c r="AF475" t="str">
        <f>IF(AD475="Monthly",Table3[[#This Row],[Assessed Term]]*12,IF(AD475="quarterly",Table3[[#This Row],[Assessed Term]]*4,IF(AD475="annually",Table3[[#This Row],[Assessed Term]]*1,IF(AD475="weekly",Table3[[#This Row],[Assessed Term]]*52,IF(AD475="semiannually",Table3[[#This Row],[Assessed Term]]*2," ")))))</f>
        <v xml:space="preserve"> </v>
      </c>
      <c r="AG475" s="69"/>
      <c r="AH475" s="69"/>
      <c r="AI475" s="73"/>
      <c r="AJ475" s="73"/>
      <c r="AK475" s="73"/>
      <c r="AL475" s="69"/>
      <c r="AM475" s="69"/>
      <c r="AN475" s="120"/>
      <c r="AO475" s="76" t="b">
        <f>IF(K475 = "Lease",+PV(AN475/(AF475/Table3[[#This Row],[Assessed Term]]),AF475,-AI475,0,IF(AE475="Beginning",1,0)))</f>
        <v>0</v>
      </c>
      <c r="AP475" s="69"/>
      <c r="AQ475" s="76">
        <f t="shared" si="44"/>
        <v>0</v>
      </c>
      <c r="AR475" s="72"/>
    </row>
    <row r="476" spans="1:44">
      <c r="A476" s="69"/>
      <c r="B476" s="70"/>
      <c r="C476" s="69"/>
      <c r="D476" s="69"/>
      <c r="E476" s="69"/>
      <c r="F476" s="69"/>
      <c r="G476" s="69"/>
      <c r="H476" s="69"/>
      <c r="I476" s="69"/>
      <c r="J476" s="69"/>
      <c r="K476" t="str">
        <f t="shared" si="45"/>
        <v>Not a Lease</v>
      </c>
      <c r="L476" s="69"/>
      <c r="M476" s="69"/>
      <c r="N476" s="69"/>
      <c r="O476" s="69"/>
      <c r="P476" s="69"/>
      <c r="Q476" s="69"/>
      <c r="R476" s="69"/>
      <c r="S476" s="69"/>
      <c r="T476" s="69"/>
      <c r="U476" s="69"/>
      <c r="V476" s="69"/>
      <c r="W476" s="69"/>
      <c r="X476" s="69"/>
      <c r="Y476" s="69"/>
      <c r="Z476">
        <f t="shared" si="43"/>
        <v>0</v>
      </c>
      <c r="AA476">
        <f t="shared" si="46"/>
        <v>0</v>
      </c>
      <c r="AB476">
        <f t="shared" si="47"/>
        <v>0</v>
      </c>
      <c r="AC476">
        <f>+IF(Table3[[#This Row],[Do Both Parties have to agree for extension to occur?]]="Yes",0,IF(AND(W476="Yes",Q476="Yes"),IF(R476=X476,R476,MAX(R476,X476)),IF(AND(W476="Yes",OR(Q476="No",Q476="")),X476,IF(AND(OR(W476="No",W476=""),Q476="Yes"),R476,0))))</f>
        <v>0</v>
      </c>
      <c r="AD476" s="69"/>
      <c r="AE476" s="69"/>
      <c r="AF476" t="str">
        <f>IF(AD476="Monthly",Table3[[#This Row],[Assessed Term]]*12,IF(AD476="quarterly",Table3[[#This Row],[Assessed Term]]*4,IF(AD476="annually",Table3[[#This Row],[Assessed Term]]*1,IF(AD476="weekly",Table3[[#This Row],[Assessed Term]]*52,IF(AD476="semiannually",Table3[[#This Row],[Assessed Term]]*2," ")))))</f>
        <v xml:space="preserve"> </v>
      </c>
      <c r="AG476" s="69"/>
      <c r="AH476" s="69"/>
      <c r="AI476" s="73"/>
      <c r="AJ476" s="73"/>
      <c r="AK476" s="73"/>
      <c r="AL476" s="69"/>
      <c r="AM476" s="69"/>
      <c r="AN476" s="120"/>
      <c r="AO476" s="76" t="b">
        <f>IF(K476 = "Lease",+PV(AN476/(AF476/Table3[[#This Row],[Assessed Term]]),AF476,-AI476,0,IF(AE476="Beginning",1,0)))</f>
        <v>0</v>
      </c>
      <c r="AP476" s="69"/>
      <c r="AQ476" s="76">
        <f t="shared" si="44"/>
        <v>0</v>
      </c>
      <c r="AR476" s="72"/>
    </row>
    <row r="477" spans="1:44">
      <c r="A477" s="69"/>
      <c r="B477" s="70"/>
      <c r="C477" s="69"/>
      <c r="D477" s="69"/>
      <c r="E477" s="69"/>
      <c r="F477" s="69"/>
      <c r="G477" s="69"/>
      <c r="H477" s="69"/>
      <c r="I477" s="69"/>
      <c r="J477" s="69"/>
      <c r="K477" t="str">
        <f t="shared" si="45"/>
        <v>Not a Lease</v>
      </c>
      <c r="L477" s="69"/>
      <c r="M477" s="69"/>
      <c r="N477" s="69"/>
      <c r="O477" s="69"/>
      <c r="P477" s="69"/>
      <c r="Q477" s="69"/>
      <c r="R477" s="69"/>
      <c r="S477" s="69"/>
      <c r="T477" s="69"/>
      <c r="U477" s="69"/>
      <c r="V477" s="69"/>
      <c r="W477" s="69"/>
      <c r="X477" s="69"/>
      <c r="Y477" s="69"/>
      <c r="Z477">
        <f t="shared" si="43"/>
        <v>0</v>
      </c>
      <c r="AA477">
        <f t="shared" si="46"/>
        <v>0</v>
      </c>
      <c r="AB477">
        <f t="shared" si="47"/>
        <v>0</v>
      </c>
      <c r="AC477">
        <f>+IF(Table3[[#This Row],[Do Both Parties have to agree for extension to occur?]]="Yes",0,IF(AND(W477="Yes",Q477="Yes"),IF(R477=X477,R477,MAX(R477,X477)),IF(AND(W477="Yes",OR(Q477="No",Q477="")),X477,IF(AND(OR(W477="No",W477=""),Q477="Yes"),R477,0))))</f>
        <v>0</v>
      </c>
      <c r="AD477" s="69"/>
      <c r="AE477" s="69"/>
      <c r="AF477" t="str">
        <f>IF(AD477="Monthly",Table3[[#This Row],[Assessed Term]]*12,IF(AD477="quarterly",Table3[[#This Row],[Assessed Term]]*4,IF(AD477="annually",Table3[[#This Row],[Assessed Term]]*1,IF(AD477="weekly",Table3[[#This Row],[Assessed Term]]*52,IF(AD477="semiannually",Table3[[#This Row],[Assessed Term]]*2," ")))))</f>
        <v xml:space="preserve"> </v>
      </c>
      <c r="AG477" s="69"/>
      <c r="AH477" s="69"/>
      <c r="AI477" s="73"/>
      <c r="AJ477" s="73"/>
      <c r="AK477" s="73"/>
      <c r="AL477" s="69"/>
      <c r="AM477" s="69"/>
      <c r="AN477" s="120"/>
      <c r="AO477" s="76" t="b">
        <f>IF(K477 = "Lease",+PV(AN477/(AF477/Table3[[#This Row],[Assessed Term]]),AF477,-AI477,0,IF(AE477="Beginning",1,0)))</f>
        <v>0</v>
      </c>
      <c r="AP477" s="69"/>
      <c r="AQ477" s="76">
        <f t="shared" si="44"/>
        <v>0</v>
      </c>
      <c r="AR477" s="72"/>
    </row>
    <row r="478" spans="1:44">
      <c r="A478" s="69"/>
      <c r="B478" s="70"/>
      <c r="C478" s="69"/>
      <c r="D478" s="69"/>
      <c r="E478" s="69"/>
      <c r="F478" s="69"/>
      <c r="G478" s="69"/>
      <c r="H478" s="69"/>
      <c r="I478" s="69"/>
      <c r="J478" s="69"/>
      <c r="K478" t="str">
        <f t="shared" si="45"/>
        <v>Not a Lease</v>
      </c>
      <c r="L478" s="69"/>
      <c r="M478" s="69"/>
      <c r="N478" s="69"/>
      <c r="O478" s="69"/>
      <c r="P478" s="69"/>
      <c r="Q478" s="69"/>
      <c r="R478" s="69"/>
      <c r="S478" s="69"/>
      <c r="T478" s="69"/>
      <c r="U478" s="69"/>
      <c r="V478" s="69"/>
      <c r="W478" s="69"/>
      <c r="X478" s="69"/>
      <c r="Y478" s="69"/>
      <c r="Z478">
        <f t="shared" si="43"/>
        <v>0</v>
      </c>
      <c r="AA478">
        <f t="shared" si="46"/>
        <v>0</v>
      </c>
      <c r="AB478">
        <f t="shared" si="47"/>
        <v>0</v>
      </c>
      <c r="AC478">
        <f>+IF(Table3[[#This Row],[Do Both Parties have to agree for extension to occur?]]="Yes",0,IF(AND(W478="Yes",Q478="Yes"),IF(R478=X478,R478,MAX(R478,X478)),IF(AND(W478="Yes",OR(Q478="No",Q478="")),X478,IF(AND(OR(W478="No",W478=""),Q478="Yes"),R478,0))))</f>
        <v>0</v>
      </c>
      <c r="AD478" s="69"/>
      <c r="AE478" s="69"/>
      <c r="AF478" t="str">
        <f>IF(AD478="Monthly",Table3[[#This Row],[Assessed Term]]*12,IF(AD478="quarterly",Table3[[#This Row],[Assessed Term]]*4,IF(AD478="annually",Table3[[#This Row],[Assessed Term]]*1,IF(AD478="weekly",Table3[[#This Row],[Assessed Term]]*52,IF(AD478="semiannually",Table3[[#This Row],[Assessed Term]]*2," ")))))</f>
        <v xml:space="preserve"> </v>
      </c>
      <c r="AG478" s="69"/>
      <c r="AH478" s="69"/>
      <c r="AI478" s="73"/>
      <c r="AJ478" s="73"/>
      <c r="AK478" s="73"/>
      <c r="AL478" s="69"/>
      <c r="AM478" s="69"/>
      <c r="AN478" s="120"/>
      <c r="AO478" s="76" t="b">
        <f>IF(K478 = "Lease",+PV(AN478/(AF478/Table3[[#This Row],[Assessed Term]]),AF478,-AI478,0,IF(AE478="Beginning",1,0)))</f>
        <v>0</v>
      </c>
      <c r="AP478" s="69"/>
      <c r="AQ478" s="76">
        <f t="shared" si="44"/>
        <v>0</v>
      </c>
      <c r="AR478" s="72"/>
    </row>
    <row r="479" spans="1:44">
      <c r="A479" s="69"/>
      <c r="B479" s="70"/>
      <c r="C479" s="69"/>
      <c r="D479" s="69"/>
      <c r="E479" s="69"/>
      <c r="F479" s="69"/>
      <c r="G479" s="69"/>
      <c r="H479" s="69"/>
      <c r="I479" s="69"/>
      <c r="J479" s="69"/>
      <c r="K479" t="str">
        <f t="shared" si="45"/>
        <v>Not a Lease</v>
      </c>
      <c r="L479" s="69"/>
      <c r="M479" s="69"/>
      <c r="N479" s="69"/>
      <c r="O479" s="69"/>
      <c r="P479" s="69"/>
      <c r="Q479" s="69"/>
      <c r="R479" s="69"/>
      <c r="S479" s="69"/>
      <c r="T479" s="69"/>
      <c r="U479" s="69"/>
      <c r="V479" s="69"/>
      <c r="W479" s="69"/>
      <c r="X479" s="69"/>
      <c r="Y479" s="69"/>
      <c r="Z479">
        <f t="shared" si="43"/>
        <v>0</v>
      </c>
      <c r="AA479">
        <f t="shared" si="46"/>
        <v>0</v>
      </c>
      <c r="AB479">
        <f t="shared" si="47"/>
        <v>0</v>
      </c>
      <c r="AC479">
        <f>+IF(Table3[[#This Row],[Do Both Parties have to agree for extension to occur?]]="Yes",0,IF(AND(W479="Yes",Q479="Yes"),IF(R479=X479,R479,MAX(R479,X479)),IF(AND(W479="Yes",OR(Q479="No",Q479="")),X479,IF(AND(OR(W479="No",W479=""),Q479="Yes"),R479,0))))</f>
        <v>0</v>
      </c>
      <c r="AD479" s="69"/>
      <c r="AE479" s="69"/>
      <c r="AF479" t="str">
        <f>IF(AD479="Monthly",Table3[[#This Row],[Assessed Term]]*12,IF(AD479="quarterly",Table3[[#This Row],[Assessed Term]]*4,IF(AD479="annually",Table3[[#This Row],[Assessed Term]]*1,IF(AD479="weekly",Table3[[#This Row],[Assessed Term]]*52,IF(AD479="semiannually",Table3[[#This Row],[Assessed Term]]*2," ")))))</f>
        <v xml:space="preserve"> </v>
      </c>
      <c r="AG479" s="69"/>
      <c r="AH479" s="69"/>
      <c r="AI479" s="73"/>
      <c r="AJ479" s="73"/>
      <c r="AK479" s="73"/>
      <c r="AL479" s="69"/>
      <c r="AM479" s="69"/>
      <c r="AN479" s="120"/>
      <c r="AO479" s="76" t="b">
        <f>IF(K479 = "Lease",+PV(AN479/(AF479/Table3[[#This Row],[Assessed Term]]),AF479,-AI479,0,IF(AE479="Beginning",1,0)))</f>
        <v>0</v>
      </c>
      <c r="AP479" s="69"/>
      <c r="AQ479" s="76">
        <f t="shared" si="44"/>
        <v>0</v>
      </c>
      <c r="AR479" s="72"/>
    </row>
    <row r="480" spans="1:44">
      <c r="A480" s="69"/>
      <c r="B480" s="70"/>
      <c r="C480" s="69"/>
      <c r="D480" s="69"/>
      <c r="E480" s="69"/>
      <c r="F480" s="69"/>
      <c r="G480" s="69"/>
      <c r="H480" s="69"/>
      <c r="I480" s="69"/>
      <c r="J480" s="69"/>
      <c r="K480" t="str">
        <f t="shared" si="45"/>
        <v>Not a Lease</v>
      </c>
      <c r="L480" s="69"/>
      <c r="M480" s="69"/>
      <c r="N480" s="69"/>
      <c r="O480" s="69"/>
      <c r="P480" s="69"/>
      <c r="Q480" s="69"/>
      <c r="R480" s="69"/>
      <c r="S480" s="69"/>
      <c r="T480" s="69"/>
      <c r="U480" s="69"/>
      <c r="V480" s="69"/>
      <c r="W480" s="69"/>
      <c r="X480" s="69"/>
      <c r="Y480" s="69"/>
      <c r="Z480">
        <f t="shared" si="43"/>
        <v>0</v>
      </c>
      <c r="AA480">
        <f t="shared" si="46"/>
        <v>0</v>
      </c>
      <c r="AB480">
        <f t="shared" si="47"/>
        <v>0</v>
      </c>
      <c r="AC480">
        <f>+IF(Table3[[#This Row],[Do Both Parties have to agree for extension to occur?]]="Yes",0,IF(AND(W480="Yes",Q480="Yes"),IF(R480=X480,R480,MAX(R480,X480)),IF(AND(W480="Yes",OR(Q480="No",Q480="")),X480,IF(AND(OR(W480="No",W480=""),Q480="Yes"),R480,0))))</f>
        <v>0</v>
      </c>
      <c r="AD480" s="69"/>
      <c r="AE480" s="69"/>
      <c r="AF480" t="str">
        <f>IF(AD480="Monthly",Table3[[#This Row],[Assessed Term]]*12,IF(AD480="quarterly",Table3[[#This Row],[Assessed Term]]*4,IF(AD480="annually",Table3[[#This Row],[Assessed Term]]*1,IF(AD480="weekly",Table3[[#This Row],[Assessed Term]]*52,IF(AD480="semiannually",Table3[[#This Row],[Assessed Term]]*2," ")))))</f>
        <v xml:space="preserve"> </v>
      </c>
      <c r="AG480" s="69"/>
      <c r="AH480" s="69"/>
      <c r="AI480" s="73"/>
      <c r="AJ480" s="73"/>
      <c r="AK480" s="73"/>
      <c r="AL480" s="69"/>
      <c r="AM480" s="69"/>
      <c r="AN480" s="120"/>
      <c r="AO480" s="76" t="b">
        <f>IF(K480 = "Lease",+PV(AN480/(AF480/Table3[[#This Row],[Assessed Term]]),AF480,-AI480,0,IF(AE480="Beginning",1,0)))</f>
        <v>0</v>
      </c>
      <c r="AP480" s="69"/>
      <c r="AQ480" s="76">
        <f t="shared" si="44"/>
        <v>0</v>
      </c>
      <c r="AR480" s="72"/>
    </row>
    <row r="481" spans="1:44">
      <c r="A481" s="69"/>
      <c r="B481" s="70"/>
      <c r="C481" s="69"/>
      <c r="D481" s="69"/>
      <c r="E481" s="69"/>
      <c r="F481" s="69"/>
      <c r="G481" s="69"/>
      <c r="H481" s="69"/>
      <c r="I481" s="69"/>
      <c r="J481" s="69"/>
      <c r="K481" t="str">
        <f t="shared" si="45"/>
        <v>Not a Lease</v>
      </c>
      <c r="L481" s="69"/>
      <c r="M481" s="69"/>
      <c r="N481" s="69"/>
      <c r="O481" s="69"/>
      <c r="P481" s="69"/>
      <c r="Q481" s="69"/>
      <c r="R481" s="69"/>
      <c r="S481" s="69"/>
      <c r="T481" s="69"/>
      <c r="U481" s="69"/>
      <c r="V481" s="69"/>
      <c r="W481" s="69"/>
      <c r="X481" s="69"/>
      <c r="Y481" s="69"/>
      <c r="Z481">
        <f t="shared" ref="Z481:Z544" si="48">+IF(AB481=0,AA481+AC481,AB481)</f>
        <v>0</v>
      </c>
      <c r="AA481">
        <f t="shared" si="46"/>
        <v>0</v>
      </c>
      <c r="AB481">
        <f t="shared" si="47"/>
        <v>0</v>
      </c>
      <c r="AC481">
        <f>+IF(Table3[[#This Row],[Do Both Parties have to agree for extension to occur?]]="Yes",0,IF(AND(W481="Yes",Q481="Yes"),IF(R481=X481,R481,MAX(R481,X481)),IF(AND(W481="Yes",OR(Q481="No",Q481="")),X481,IF(AND(OR(W481="No",W481=""),Q481="Yes"),R481,0))))</f>
        <v>0</v>
      </c>
      <c r="AD481" s="69"/>
      <c r="AE481" s="69"/>
      <c r="AF481" t="str">
        <f>IF(AD481="Monthly",Table3[[#This Row],[Assessed Term]]*12,IF(AD481="quarterly",Table3[[#This Row],[Assessed Term]]*4,IF(AD481="annually",Table3[[#This Row],[Assessed Term]]*1,IF(AD481="weekly",Table3[[#This Row],[Assessed Term]]*52,IF(AD481="semiannually",Table3[[#This Row],[Assessed Term]]*2," ")))))</f>
        <v xml:space="preserve"> </v>
      </c>
      <c r="AG481" s="69"/>
      <c r="AH481" s="69"/>
      <c r="AI481" s="73"/>
      <c r="AJ481" s="73"/>
      <c r="AK481" s="73"/>
      <c r="AL481" s="69"/>
      <c r="AM481" s="69"/>
      <c r="AN481" s="120"/>
      <c r="AO481" s="76" t="b">
        <f>IF(K481 = "Lease",+PV(AN481/(AF481/Table3[[#This Row],[Assessed Term]]),AF481,-AI481,0,IF(AE481="Beginning",1,0)))</f>
        <v>0</v>
      </c>
      <c r="AP481" s="69"/>
      <c r="AQ481" s="76">
        <f t="shared" ref="AQ481:AQ544" si="49">+IF(AP481 = "no",AO481,0)</f>
        <v>0</v>
      </c>
      <c r="AR481" s="72"/>
    </row>
    <row r="482" spans="1:44">
      <c r="A482" s="69"/>
      <c r="B482" s="70"/>
      <c r="C482" s="69"/>
      <c r="D482" s="69"/>
      <c r="E482" s="69"/>
      <c r="F482" s="69"/>
      <c r="G482" s="69"/>
      <c r="H482" s="69"/>
      <c r="I482" s="69"/>
      <c r="J482" s="69"/>
      <c r="K482" t="str">
        <f t="shared" si="45"/>
        <v>Not a Lease</v>
      </c>
      <c r="L482" s="69"/>
      <c r="M482" s="69"/>
      <c r="N482" s="69"/>
      <c r="O482" s="69"/>
      <c r="P482" s="69"/>
      <c r="Q482" s="69"/>
      <c r="R482" s="69"/>
      <c r="S482" s="69"/>
      <c r="T482" s="69"/>
      <c r="U482" s="69"/>
      <c r="V482" s="69"/>
      <c r="W482" s="69"/>
      <c r="X482" s="69"/>
      <c r="Y482" s="69"/>
      <c r="Z482">
        <f t="shared" si="48"/>
        <v>0</v>
      </c>
      <c r="AA482">
        <f t="shared" si="46"/>
        <v>0</v>
      </c>
      <c r="AB482">
        <f t="shared" si="47"/>
        <v>0</v>
      </c>
      <c r="AC482">
        <f>+IF(Table3[[#This Row],[Do Both Parties have to agree for extension to occur?]]="Yes",0,IF(AND(W482="Yes",Q482="Yes"),IF(R482=X482,R482,MAX(R482,X482)),IF(AND(W482="Yes",OR(Q482="No",Q482="")),X482,IF(AND(OR(W482="No",W482=""),Q482="Yes"),R482,0))))</f>
        <v>0</v>
      </c>
      <c r="AD482" s="69"/>
      <c r="AE482" s="69"/>
      <c r="AF482" t="str">
        <f>IF(AD482="Monthly",Table3[[#This Row],[Assessed Term]]*12,IF(AD482="quarterly",Table3[[#This Row],[Assessed Term]]*4,IF(AD482="annually",Table3[[#This Row],[Assessed Term]]*1,IF(AD482="weekly",Table3[[#This Row],[Assessed Term]]*52,IF(AD482="semiannually",Table3[[#This Row],[Assessed Term]]*2," ")))))</f>
        <v xml:space="preserve"> </v>
      </c>
      <c r="AG482" s="69"/>
      <c r="AH482" s="69"/>
      <c r="AI482" s="73"/>
      <c r="AJ482" s="73"/>
      <c r="AK482" s="73"/>
      <c r="AL482" s="69"/>
      <c r="AM482" s="69"/>
      <c r="AN482" s="120"/>
      <c r="AO482" s="76" t="b">
        <f>IF(K482 = "Lease",+PV(AN482/(AF482/Table3[[#This Row],[Assessed Term]]),AF482,-AI482,0,IF(AE482="Beginning",1,0)))</f>
        <v>0</v>
      </c>
      <c r="AP482" s="69"/>
      <c r="AQ482" s="76">
        <f t="shared" si="49"/>
        <v>0</v>
      </c>
      <c r="AR482" s="72"/>
    </row>
    <row r="483" spans="1:44">
      <c r="A483" s="69"/>
      <c r="B483" s="70"/>
      <c r="C483" s="69"/>
      <c r="D483" s="69"/>
      <c r="E483" s="69"/>
      <c r="F483" s="69"/>
      <c r="G483" s="69"/>
      <c r="H483" s="69"/>
      <c r="I483" s="69"/>
      <c r="J483" s="69"/>
      <c r="K483" t="str">
        <f t="shared" si="45"/>
        <v>Not a Lease</v>
      </c>
      <c r="L483" s="69"/>
      <c r="M483" s="69"/>
      <c r="N483" s="69"/>
      <c r="O483" s="69"/>
      <c r="P483" s="69"/>
      <c r="Q483" s="69"/>
      <c r="R483" s="69"/>
      <c r="S483" s="69"/>
      <c r="T483" s="69"/>
      <c r="U483" s="69"/>
      <c r="V483" s="69"/>
      <c r="W483" s="69"/>
      <c r="X483" s="69"/>
      <c r="Y483" s="69"/>
      <c r="Z483">
        <f t="shared" si="48"/>
        <v>0</v>
      </c>
      <c r="AA483">
        <f t="shared" si="46"/>
        <v>0</v>
      </c>
      <c r="AB483">
        <f t="shared" si="47"/>
        <v>0</v>
      </c>
      <c r="AC483">
        <f>+IF(Table3[[#This Row],[Do Both Parties have to agree for extension to occur?]]="Yes",0,IF(AND(W483="Yes",Q483="Yes"),IF(R483=X483,R483,MAX(R483,X483)),IF(AND(W483="Yes",OR(Q483="No",Q483="")),X483,IF(AND(OR(W483="No",W483=""),Q483="Yes"),R483,0))))</f>
        <v>0</v>
      </c>
      <c r="AD483" s="69"/>
      <c r="AE483" s="69"/>
      <c r="AF483" t="str">
        <f>IF(AD483="Monthly",Table3[[#This Row],[Assessed Term]]*12,IF(AD483="quarterly",Table3[[#This Row],[Assessed Term]]*4,IF(AD483="annually",Table3[[#This Row],[Assessed Term]]*1,IF(AD483="weekly",Table3[[#This Row],[Assessed Term]]*52,IF(AD483="semiannually",Table3[[#This Row],[Assessed Term]]*2," ")))))</f>
        <v xml:space="preserve"> </v>
      </c>
      <c r="AG483" s="69"/>
      <c r="AH483" s="69"/>
      <c r="AI483" s="73"/>
      <c r="AJ483" s="73"/>
      <c r="AK483" s="73"/>
      <c r="AL483" s="69"/>
      <c r="AM483" s="69"/>
      <c r="AN483" s="120"/>
      <c r="AO483" s="76" t="b">
        <f>IF(K483 = "Lease",+PV(AN483/(AF483/Table3[[#This Row],[Assessed Term]]),AF483,-AI483,0,IF(AE483="Beginning",1,0)))</f>
        <v>0</v>
      </c>
      <c r="AP483" s="69"/>
      <c r="AQ483" s="76">
        <f t="shared" si="49"/>
        <v>0</v>
      </c>
      <c r="AR483" s="72"/>
    </row>
    <row r="484" spans="1:44">
      <c r="A484" s="69"/>
      <c r="B484" s="70"/>
      <c r="C484" s="69"/>
      <c r="D484" s="69"/>
      <c r="E484" s="69"/>
      <c r="F484" s="69"/>
      <c r="G484" s="69"/>
      <c r="H484" s="69"/>
      <c r="I484" s="69"/>
      <c r="J484" s="69"/>
      <c r="K484" t="str">
        <f t="shared" si="45"/>
        <v>Not a Lease</v>
      </c>
      <c r="L484" s="69"/>
      <c r="M484" s="69"/>
      <c r="N484" s="69"/>
      <c r="O484" s="69"/>
      <c r="P484" s="69"/>
      <c r="Q484" s="69"/>
      <c r="R484" s="69"/>
      <c r="S484" s="69"/>
      <c r="T484" s="69"/>
      <c r="U484" s="69"/>
      <c r="V484" s="69"/>
      <c r="W484" s="69"/>
      <c r="X484" s="69"/>
      <c r="Y484" s="69"/>
      <c r="Z484">
        <f t="shared" si="48"/>
        <v>0</v>
      </c>
      <c r="AA484">
        <f t="shared" si="46"/>
        <v>0</v>
      </c>
      <c r="AB484">
        <f t="shared" si="47"/>
        <v>0</v>
      </c>
      <c r="AC484">
        <f>+IF(Table3[[#This Row],[Do Both Parties have to agree for extension to occur?]]="Yes",0,IF(AND(W484="Yes",Q484="Yes"),IF(R484=X484,R484,MAX(R484,X484)),IF(AND(W484="Yes",OR(Q484="No",Q484="")),X484,IF(AND(OR(W484="No",W484=""),Q484="Yes"),R484,0))))</f>
        <v>0</v>
      </c>
      <c r="AD484" s="69"/>
      <c r="AE484" s="69"/>
      <c r="AF484" t="str">
        <f>IF(AD484="Monthly",Table3[[#This Row],[Assessed Term]]*12,IF(AD484="quarterly",Table3[[#This Row],[Assessed Term]]*4,IF(AD484="annually",Table3[[#This Row],[Assessed Term]]*1,IF(AD484="weekly",Table3[[#This Row],[Assessed Term]]*52,IF(AD484="semiannually",Table3[[#This Row],[Assessed Term]]*2," ")))))</f>
        <v xml:space="preserve"> </v>
      </c>
      <c r="AG484" s="69"/>
      <c r="AH484" s="69"/>
      <c r="AI484" s="73"/>
      <c r="AJ484" s="73"/>
      <c r="AK484" s="73"/>
      <c r="AL484" s="69"/>
      <c r="AM484" s="69"/>
      <c r="AN484" s="120"/>
      <c r="AO484" s="76" t="b">
        <f>IF(K484 = "Lease",+PV(AN484/(AF484/Table3[[#This Row],[Assessed Term]]),AF484,-AI484,0,IF(AE484="Beginning",1,0)))</f>
        <v>0</v>
      </c>
      <c r="AP484" s="69"/>
      <c r="AQ484" s="76">
        <f t="shared" si="49"/>
        <v>0</v>
      </c>
      <c r="AR484" s="72"/>
    </row>
    <row r="485" spans="1:44">
      <c r="A485" s="69"/>
      <c r="B485" s="70"/>
      <c r="C485" s="69"/>
      <c r="D485" s="69"/>
      <c r="E485" s="69"/>
      <c r="F485" s="69"/>
      <c r="G485" s="69"/>
      <c r="H485" s="69"/>
      <c r="I485" s="69"/>
      <c r="J485" s="69"/>
      <c r="K485" t="str">
        <f t="shared" si="45"/>
        <v>Not a Lease</v>
      </c>
      <c r="L485" s="69"/>
      <c r="M485" s="69"/>
      <c r="N485" s="69"/>
      <c r="O485" s="69"/>
      <c r="P485" s="69"/>
      <c r="Q485" s="69"/>
      <c r="R485" s="69"/>
      <c r="S485" s="69"/>
      <c r="T485" s="69"/>
      <c r="U485" s="69"/>
      <c r="V485" s="69"/>
      <c r="W485" s="69"/>
      <c r="X485" s="69"/>
      <c r="Y485" s="69"/>
      <c r="Z485">
        <f t="shared" si="48"/>
        <v>0</v>
      </c>
      <c r="AA485">
        <f t="shared" si="46"/>
        <v>0</v>
      </c>
      <c r="AB485">
        <f t="shared" si="47"/>
        <v>0</v>
      </c>
      <c r="AC485">
        <f>+IF(Table3[[#This Row],[Do Both Parties have to agree for extension to occur?]]="Yes",0,IF(AND(W485="Yes",Q485="Yes"),IF(R485=X485,R485,MAX(R485,X485)),IF(AND(W485="Yes",OR(Q485="No",Q485="")),X485,IF(AND(OR(W485="No",W485=""),Q485="Yes"),R485,0))))</f>
        <v>0</v>
      </c>
      <c r="AD485" s="69"/>
      <c r="AE485" s="69"/>
      <c r="AF485" t="str">
        <f>IF(AD485="Monthly",Table3[[#This Row],[Assessed Term]]*12,IF(AD485="quarterly",Table3[[#This Row],[Assessed Term]]*4,IF(AD485="annually",Table3[[#This Row],[Assessed Term]]*1,IF(AD485="weekly",Table3[[#This Row],[Assessed Term]]*52,IF(AD485="semiannually",Table3[[#This Row],[Assessed Term]]*2," ")))))</f>
        <v xml:space="preserve"> </v>
      </c>
      <c r="AG485" s="69"/>
      <c r="AH485" s="69"/>
      <c r="AI485" s="73"/>
      <c r="AJ485" s="73"/>
      <c r="AK485" s="73"/>
      <c r="AL485" s="69"/>
      <c r="AM485" s="69"/>
      <c r="AN485" s="120"/>
      <c r="AO485" s="76" t="b">
        <f>IF(K485 = "Lease",+PV(AN485/(AF485/Table3[[#This Row],[Assessed Term]]),AF485,-AI485,0,IF(AE485="Beginning",1,0)))</f>
        <v>0</v>
      </c>
      <c r="AP485" s="69"/>
      <c r="AQ485" s="76">
        <f t="shared" si="49"/>
        <v>0</v>
      </c>
      <c r="AR485" s="72"/>
    </row>
    <row r="486" spans="1:44">
      <c r="A486" s="69"/>
      <c r="B486" s="70"/>
      <c r="C486" s="69"/>
      <c r="D486" s="69"/>
      <c r="E486" s="69"/>
      <c r="F486" s="69"/>
      <c r="G486" s="69"/>
      <c r="H486" s="69"/>
      <c r="I486" s="69"/>
      <c r="J486" s="69"/>
      <c r="K486" t="str">
        <f t="shared" si="45"/>
        <v>Not a Lease</v>
      </c>
      <c r="L486" s="69"/>
      <c r="M486" s="69"/>
      <c r="N486" s="69"/>
      <c r="O486" s="69"/>
      <c r="P486" s="69"/>
      <c r="Q486" s="69"/>
      <c r="R486" s="69"/>
      <c r="S486" s="69"/>
      <c r="T486" s="69"/>
      <c r="U486" s="69"/>
      <c r="V486" s="69"/>
      <c r="W486" s="69"/>
      <c r="X486" s="69"/>
      <c r="Y486" s="69"/>
      <c r="Z486">
        <f t="shared" si="48"/>
        <v>0</v>
      </c>
      <c r="AA486">
        <f t="shared" si="46"/>
        <v>0</v>
      </c>
      <c r="AB486">
        <f t="shared" si="47"/>
        <v>0</v>
      </c>
      <c r="AC486">
        <f>+IF(Table3[[#This Row],[Do Both Parties have to agree for extension to occur?]]="Yes",0,IF(AND(W486="Yes",Q486="Yes"),IF(R486=X486,R486,MAX(R486,X486)),IF(AND(W486="Yes",OR(Q486="No",Q486="")),X486,IF(AND(OR(W486="No",W486=""),Q486="Yes"),R486,0))))</f>
        <v>0</v>
      </c>
      <c r="AD486" s="69"/>
      <c r="AE486" s="69"/>
      <c r="AF486" t="str">
        <f>IF(AD486="Monthly",Table3[[#This Row],[Assessed Term]]*12,IF(AD486="quarterly",Table3[[#This Row],[Assessed Term]]*4,IF(AD486="annually",Table3[[#This Row],[Assessed Term]]*1,IF(AD486="weekly",Table3[[#This Row],[Assessed Term]]*52,IF(AD486="semiannually",Table3[[#This Row],[Assessed Term]]*2," ")))))</f>
        <v xml:space="preserve"> </v>
      </c>
      <c r="AG486" s="69"/>
      <c r="AH486" s="69"/>
      <c r="AI486" s="73"/>
      <c r="AJ486" s="73"/>
      <c r="AK486" s="73"/>
      <c r="AL486" s="69"/>
      <c r="AM486" s="69"/>
      <c r="AN486" s="120"/>
      <c r="AO486" s="76" t="b">
        <f>IF(K486 = "Lease",+PV(AN486/(AF486/Table3[[#This Row],[Assessed Term]]),AF486,-AI486,0,IF(AE486="Beginning",1,0)))</f>
        <v>0</v>
      </c>
      <c r="AP486" s="69"/>
      <c r="AQ486" s="76">
        <f t="shared" si="49"/>
        <v>0</v>
      </c>
      <c r="AR486" s="72"/>
    </row>
    <row r="487" spans="1:44">
      <c r="A487" s="69"/>
      <c r="B487" s="70"/>
      <c r="C487" s="69"/>
      <c r="D487" s="69"/>
      <c r="E487" s="69"/>
      <c r="F487" s="69"/>
      <c r="G487" s="69"/>
      <c r="H487" s="69"/>
      <c r="I487" s="69"/>
      <c r="J487" s="69"/>
      <c r="K487" t="str">
        <f t="shared" si="45"/>
        <v>Not a Lease</v>
      </c>
      <c r="L487" s="69"/>
      <c r="M487" s="69"/>
      <c r="N487" s="69"/>
      <c r="O487" s="69"/>
      <c r="P487" s="69"/>
      <c r="Q487" s="69"/>
      <c r="R487" s="69"/>
      <c r="S487" s="69"/>
      <c r="T487" s="69"/>
      <c r="U487" s="69"/>
      <c r="V487" s="69"/>
      <c r="W487" s="69"/>
      <c r="X487" s="69"/>
      <c r="Y487" s="69"/>
      <c r="Z487">
        <f t="shared" si="48"/>
        <v>0</v>
      </c>
      <c r="AA487">
        <f t="shared" si="46"/>
        <v>0</v>
      </c>
      <c r="AB487">
        <f t="shared" si="47"/>
        <v>0</v>
      </c>
      <c r="AC487">
        <f>+IF(Table3[[#This Row],[Do Both Parties have to agree for extension to occur?]]="Yes",0,IF(AND(W487="Yes",Q487="Yes"),IF(R487=X487,R487,MAX(R487,X487)),IF(AND(W487="Yes",OR(Q487="No",Q487="")),X487,IF(AND(OR(W487="No",W487=""),Q487="Yes"),R487,0))))</f>
        <v>0</v>
      </c>
      <c r="AD487" s="69"/>
      <c r="AE487" s="69"/>
      <c r="AF487" t="str">
        <f>IF(AD487="Monthly",Table3[[#This Row],[Assessed Term]]*12,IF(AD487="quarterly",Table3[[#This Row],[Assessed Term]]*4,IF(AD487="annually",Table3[[#This Row],[Assessed Term]]*1,IF(AD487="weekly",Table3[[#This Row],[Assessed Term]]*52,IF(AD487="semiannually",Table3[[#This Row],[Assessed Term]]*2," ")))))</f>
        <v xml:space="preserve"> </v>
      </c>
      <c r="AG487" s="69"/>
      <c r="AH487" s="69"/>
      <c r="AI487" s="73"/>
      <c r="AJ487" s="73"/>
      <c r="AK487" s="73"/>
      <c r="AL487" s="69"/>
      <c r="AM487" s="69"/>
      <c r="AN487" s="120"/>
      <c r="AO487" s="76" t="b">
        <f>IF(K487 = "Lease",+PV(AN487/(AF487/Table3[[#This Row],[Assessed Term]]),AF487,-AI487,0,IF(AE487="Beginning",1,0)))</f>
        <v>0</v>
      </c>
      <c r="AP487" s="69"/>
      <c r="AQ487" s="76">
        <f t="shared" si="49"/>
        <v>0</v>
      </c>
      <c r="AR487" s="72"/>
    </row>
    <row r="488" spans="1:44">
      <c r="A488" s="69"/>
      <c r="B488" s="70"/>
      <c r="C488" s="69"/>
      <c r="D488" s="69"/>
      <c r="E488" s="69"/>
      <c r="F488" s="69"/>
      <c r="G488" s="69"/>
      <c r="H488" s="69"/>
      <c r="I488" s="69"/>
      <c r="J488" s="69"/>
      <c r="K488" t="str">
        <f t="shared" si="45"/>
        <v>Not a Lease</v>
      </c>
      <c r="L488" s="69"/>
      <c r="M488" s="69"/>
      <c r="N488" s="69"/>
      <c r="O488" s="69"/>
      <c r="P488" s="69"/>
      <c r="Q488" s="69"/>
      <c r="R488" s="69"/>
      <c r="S488" s="69"/>
      <c r="T488" s="69"/>
      <c r="U488" s="69"/>
      <c r="V488" s="69"/>
      <c r="W488" s="69"/>
      <c r="X488" s="69"/>
      <c r="Y488" s="69"/>
      <c r="Z488">
        <f t="shared" si="48"/>
        <v>0</v>
      </c>
      <c r="AA488">
        <f t="shared" si="46"/>
        <v>0</v>
      </c>
      <c r="AB488">
        <f t="shared" si="47"/>
        <v>0</v>
      </c>
      <c r="AC488">
        <f>+IF(Table3[[#This Row],[Do Both Parties have to agree for extension to occur?]]="Yes",0,IF(AND(W488="Yes",Q488="Yes"),IF(R488=X488,R488,MAX(R488,X488)),IF(AND(W488="Yes",OR(Q488="No",Q488="")),X488,IF(AND(OR(W488="No",W488=""),Q488="Yes"),R488,0))))</f>
        <v>0</v>
      </c>
      <c r="AD488" s="69"/>
      <c r="AE488" s="69"/>
      <c r="AF488" t="str">
        <f>IF(AD488="Monthly",Table3[[#This Row],[Assessed Term]]*12,IF(AD488="quarterly",Table3[[#This Row],[Assessed Term]]*4,IF(AD488="annually",Table3[[#This Row],[Assessed Term]]*1,IF(AD488="weekly",Table3[[#This Row],[Assessed Term]]*52,IF(AD488="semiannually",Table3[[#This Row],[Assessed Term]]*2," ")))))</f>
        <v xml:space="preserve"> </v>
      </c>
      <c r="AG488" s="69"/>
      <c r="AH488" s="69"/>
      <c r="AI488" s="73"/>
      <c r="AJ488" s="73"/>
      <c r="AK488" s="73"/>
      <c r="AL488" s="69"/>
      <c r="AM488" s="69"/>
      <c r="AN488" s="120"/>
      <c r="AO488" s="76" t="b">
        <f>IF(K488 = "Lease",+PV(AN488/(AF488/Table3[[#This Row],[Assessed Term]]),AF488,-AI488,0,IF(AE488="Beginning",1,0)))</f>
        <v>0</v>
      </c>
      <c r="AP488" s="69"/>
      <c r="AQ488" s="76">
        <f t="shared" si="49"/>
        <v>0</v>
      </c>
      <c r="AR488" s="72"/>
    </row>
    <row r="489" spans="1:44">
      <c r="A489" s="69"/>
      <c r="B489" s="70"/>
      <c r="C489" s="69"/>
      <c r="D489" s="69"/>
      <c r="E489" s="69"/>
      <c r="F489" s="69"/>
      <c r="G489" s="69"/>
      <c r="H489" s="69"/>
      <c r="I489" s="69"/>
      <c r="J489" s="69"/>
      <c r="K489" t="str">
        <f t="shared" si="45"/>
        <v>Not a Lease</v>
      </c>
      <c r="L489" s="69"/>
      <c r="M489" s="69"/>
      <c r="N489" s="69"/>
      <c r="O489" s="69"/>
      <c r="P489" s="69"/>
      <c r="Q489" s="69"/>
      <c r="R489" s="69"/>
      <c r="S489" s="69"/>
      <c r="T489" s="69"/>
      <c r="U489" s="69"/>
      <c r="V489" s="69"/>
      <c r="W489" s="69"/>
      <c r="X489" s="69"/>
      <c r="Y489" s="69"/>
      <c r="Z489">
        <f t="shared" si="48"/>
        <v>0</v>
      </c>
      <c r="AA489">
        <f t="shared" si="46"/>
        <v>0</v>
      </c>
      <c r="AB489">
        <f t="shared" si="47"/>
        <v>0</v>
      </c>
      <c r="AC489">
        <f>+IF(Table3[[#This Row],[Do Both Parties have to agree for extension to occur?]]="Yes",0,IF(AND(W489="Yes",Q489="Yes"),IF(R489=X489,R489,MAX(R489,X489)),IF(AND(W489="Yes",OR(Q489="No",Q489="")),X489,IF(AND(OR(W489="No",W489=""),Q489="Yes"),R489,0))))</f>
        <v>0</v>
      </c>
      <c r="AD489" s="69"/>
      <c r="AE489" s="69"/>
      <c r="AF489" t="str">
        <f>IF(AD489="Monthly",Table3[[#This Row],[Assessed Term]]*12,IF(AD489="quarterly",Table3[[#This Row],[Assessed Term]]*4,IF(AD489="annually",Table3[[#This Row],[Assessed Term]]*1,IF(AD489="weekly",Table3[[#This Row],[Assessed Term]]*52,IF(AD489="semiannually",Table3[[#This Row],[Assessed Term]]*2," ")))))</f>
        <v xml:space="preserve"> </v>
      </c>
      <c r="AG489" s="69"/>
      <c r="AH489" s="69"/>
      <c r="AI489" s="73"/>
      <c r="AJ489" s="73"/>
      <c r="AK489" s="73"/>
      <c r="AL489" s="69"/>
      <c r="AM489" s="69"/>
      <c r="AN489" s="120"/>
      <c r="AO489" s="76" t="b">
        <f>IF(K489 = "Lease",+PV(AN489/(AF489/Table3[[#This Row],[Assessed Term]]),AF489,-AI489,0,IF(AE489="Beginning",1,0)))</f>
        <v>0</v>
      </c>
      <c r="AP489" s="69"/>
      <c r="AQ489" s="76">
        <f t="shared" si="49"/>
        <v>0</v>
      </c>
      <c r="AR489" s="72"/>
    </row>
    <row r="490" spans="1:44">
      <c r="A490" s="69"/>
      <c r="B490" s="70"/>
      <c r="C490" s="69"/>
      <c r="D490" s="69"/>
      <c r="E490" s="69"/>
      <c r="F490" s="69"/>
      <c r="G490" s="69"/>
      <c r="H490" s="69"/>
      <c r="I490" s="69"/>
      <c r="J490" s="69"/>
      <c r="K490" t="str">
        <f t="shared" si="45"/>
        <v>Not a Lease</v>
      </c>
      <c r="L490" s="69"/>
      <c r="M490" s="69"/>
      <c r="N490" s="69"/>
      <c r="O490" s="69"/>
      <c r="P490" s="69"/>
      <c r="Q490" s="69"/>
      <c r="R490" s="69"/>
      <c r="S490" s="69"/>
      <c r="T490" s="69"/>
      <c r="U490" s="69"/>
      <c r="V490" s="69"/>
      <c r="W490" s="69"/>
      <c r="X490" s="69"/>
      <c r="Y490" s="69"/>
      <c r="Z490">
        <f t="shared" si="48"/>
        <v>0</v>
      </c>
      <c r="AA490">
        <f t="shared" si="46"/>
        <v>0</v>
      </c>
      <c r="AB490">
        <f t="shared" si="47"/>
        <v>0</v>
      </c>
      <c r="AC490">
        <f>+IF(Table3[[#This Row],[Do Both Parties have to agree for extension to occur?]]="Yes",0,IF(AND(W490="Yes",Q490="Yes"),IF(R490=X490,R490,MAX(R490,X490)),IF(AND(W490="Yes",OR(Q490="No",Q490="")),X490,IF(AND(OR(W490="No",W490=""),Q490="Yes"),R490,0))))</f>
        <v>0</v>
      </c>
      <c r="AD490" s="69"/>
      <c r="AE490" s="69"/>
      <c r="AF490" t="str">
        <f>IF(AD490="Monthly",Table3[[#This Row],[Assessed Term]]*12,IF(AD490="quarterly",Table3[[#This Row],[Assessed Term]]*4,IF(AD490="annually",Table3[[#This Row],[Assessed Term]]*1,IF(AD490="weekly",Table3[[#This Row],[Assessed Term]]*52,IF(AD490="semiannually",Table3[[#This Row],[Assessed Term]]*2," ")))))</f>
        <v xml:space="preserve"> </v>
      </c>
      <c r="AG490" s="69"/>
      <c r="AH490" s="69"/>
      <c r="AI490" s="73"/>
      <c r="AJ490" s="73"/>
      <c r="AK490" s="73"/>
      <c r="AL490" s="69"/>
      <c r="AM490" s="69"/>
      <c r="AN490" s="120"/>
      <c r="AO490" s="76" t="b">
        <f>IF(K490 = "Lease",+PV(AN490/(AF490/Table3[[#This Row],[Assessed Term]]),AF490,-AI490,0,IF(AE490="Beginning",1,0)))</f>
        <v>0</v>
      </c>
      <c r="AP490" s="69"/>
      <c r="AQ490" s="76">
        <f t="shared" si="49"/>
        <v>0</v>
      </c>
      <c r="AR490" s="72"/>
    </row>
    <row r="491" spans="1:44">
      <c r="A491" s="69"/>
      <c r="B491" s="70"/>
      <c r="C491" s="69"/>
      <c r="D491" s="69"/>
      <c r="E491" s="69"/>
      <c r="F491" s="69"/>
      <c r="G491" s="69"/>
      <c r="H491" s="69"/>
      <c r="I491" s="69"/>
      <c r="J491" s="69"/>
      <c r="K491" t="str">
        <f t="shared" si="45"/>
        <v>Not a Lease</v>
      </c>
      <c r="L491" s="69"/>
      <c r="M491" s="69"/>
      <c r="N491" s="69"/>
      <c r="O491" s="69"/>
      <c r="P491" s="69"/>
      <c r="Q491" s="69"/>
      <c r="R491" s="69"/>
      <c r="S491" s="69"/>
      <c r="T491" s="69"/>
      <c r="U491" s="69"/>
      <c r="V491" s="69"/>
      <c r="W491" s="69"/>
      <c r="X491" s="69"/>
      <c r="Y491" s="69"/>
      <c r="Z491">
        <f t="shared" si="48"/>
        <v>0</v>
      </c>
      <c r="AA491">
        <f t="shared" si="46"/>
        <v>0</v>
      </c>
      <c r="AB491">
        <f t="shared" si="47"/>
        <v>0</v>
      </c>
      <c r="AC491">
        <f>+IF(Table3[[#This Row],[Do Both Parties have to agree for extension to occur?]]="Yes",0,IF(AND(W491="Yes",Q491="Yes"),IF(R491=X491,R491,MAX(R491,X491)),IF(AND(W491="Yes",OR(Q491="No",Q491="")),X491,IF(AND(OR(W491="No",W491=""),Q491="Yes"),R491,0))))</f>
        <v>0</v>
      </c>
      <c r="AD491" s="69"/>
      <c r="AE491" s="69"/>
      <c r="AF491" t="str">
        <f>IF(AD491="Monthly",Table3[[#This Row],[Assessed Term]]*12,IF(AD491="quarterly",Table3[[#This Row],[Assessed Term]]*4,IF(AD491="annually",Table3[[#This Row],[Assessed Term]]*1,IF(AD491="weekly",Table3[[#This Row],[Assessed Term]]*52,IF(AD491="semiannually",Table3[[#This Row],[Assessed Term]]*2," ")))))</f>
        <v xml:space="preserve"> </v>
      </c>
      <c r="AG491" s="69"/>
      <c r="AH491" s="69"/>
      <c r="AI491" s="73"/>
      <c r="AJ491" s="73"/>
      <c r="AK491" s="73"/>
      <c r="AL491" s="69"/>
      <c r="AM491" s="69"/>
      <c r="AN491" s="120"/>
      <c r="AO491" s="76" t="b">
        <f>IF(K491 = "Lease",+PV(AN491/(AF491/Table3[[#This Row],[Assessed Term]]),AF491,-AI491,0,IF(AE491="Beginning",1,0)))</f>
        <v>0</v>
      </c>
      <c r="AP491" s="69"/>
      <c r="AQ491" s="76">
        <f t="shared" si="49"/>
        <v>0</v>
      </c>
      <c r="AR491" s="72"/>
    </row>
    <row r="492" spans="1:44">
      <c r="A492" s="69"/>
      <c r="B492" s="70"/>
      <c r="C492" s="69"/>
      <c r="D492" s="69"/>
      <c r="E492" s="69"/>
      <c r="F492" s="69"/>
      <c r="G492" s="69"/>
      <c r="H492" s="69"/>
      <c r="I492" s="69"/>
      <c r="J492" s="69"/>
      <c r="K492" t="str">
        <f t="shared" si="45"/>
        <v>Not a Lease</v>
      </c>
      <c r="L492" s="69"/>
      <c r="M492" s="69"/>
      <c r="N492" s="69"/>
      <c r="O492" s="69"/>
      <c r="P492" s="69"/>
      <c r="Q492" s="69"/>
      <c r="R492" s="69"/>
      <c r="S492" s="69"/>
      <c r="T492" s="69"/>
      <c r="U492" s="69"/>
      <c r="V492" s="69"/>
      <c r="W492" s="69"/>
      <c r="X492" s="69"/>
      <c r="Y492" s="69"/>
      <c r="Z492">
        <f t="shared" si="48"/>
        <v>0</v>
      </c>
      <c r="AA492">
        <f t="shared" si="46"/>
        <v>0</v>
      </c>
      <c r="AB492">
        <f t="shared" si="47"/>
        <v>0</v>
      </c>
      <c r="AC492">
        <f>+IF(Table3[[#This Row],[Do Both Parties have to agree for extension to occur?]]="Yes",0,IF(AND(W492="Yes",Q492="Yes"),IF(R492=X492,R492,MAX(R492,X492)),IF(AND(W492="Yes",OR(Q492="No",Q492="")),X492,IF(AND(OR(W492="No",W492=""),Q492="Yes"),R492,0))))</f>
        <v>0</v>
      </c>
      <c r="AD492" s="69"/>
      <c r="AE492" s="69"/>
      <c r="AF492" t="str">
        <f>IF(AD492="Monthly",Table3[[#This Row],[Assessed Term]]*12,IF(AD492="quarterly",Table3[[#This Row],[Assessed Term]]*4,IF(AD492="annually",Table3[[#This Row],[Assessed Term]]*1,IF(AD492="weekly",Table3[[#This Row],[Assessed Term]]*52,IF(AD492="semiannually",Table3[[#This Row],[Assessed Term]]*2," ")))))</f>
        <v xml:space="preserve"> </v>
      </c>
      <c r="AG492" s="69"/>
      <c r="AH492" s="69"/>
      <c r="AI492" s="73"/>
      <c r="AJ492" s="73"/>
      <c r="AK492" s="73"/>
      <c r="AL492" s="69"/>
      <c r="AM492" s="69"/>
      <c r="AN492" s="120"/>
      <c r="AO492" s="76" t="b">
        <f>IF(K492 = "Lease",+PV(AN492/(AF492/Table3[[#This Row],[Assessed Term]]),AF492,-AI492,0,IF(AE492="Beginning",1,0)))</f>
        <v>0</v>
      </c>
      <c r="AP492" s="69"/>
      <c r="AQ492" s="76">
        <f t="shared" si="49"/>
        <v>0</v>
      </c>
      <c r="AR492" s="72"/>
    </row>
    <row r="493" spans="1:44">
      <c r="A493" s="69"/>
      <c r="B493" s="70"/>
      <c r="C493" s="69"/>
      <c r="D493" s="69"/>
      <c r="E493" s="69"/>
      <c r="F493" s="69"/>
      <c r="G493" s="69"/>
      <c r="H493" s="69"/>
      <c r="I493" s="69"/>
      <c r="J493" s="69"/>
      <c r="K493" t="str">
        <f t="shared" si="45"/>
        <v>Not a Lease</v>
      </c>
      <c r="L493" s="69"/>
      <c r="M493" s="69"/>
      <c r="N493" s="69"/>
      <c r="O493" s="69"/>
      <c r="P493" s="69"/>
      <c r="Q493" s="69"/>
      <c r="R493" s="69"/>
      <c r="S493" s="69"/>
      <c r="T493" s="69"/>
      <c r="U493" s="69"/>
      <c r="V493" s="69"/>
      <c r="W493" s="69"/>
      <c r="X493" s="69"/>
      <c r="Y493" s="69"/>
      <c r="Z493">
        <f t="shared" si="48"/>
        <v>0</v>
      </c>
      <c r="AA493">
        <f t="shared" si="46"/>
        <v>0</v>
      </c>
      <c r="AB493">
        <f t="shared" si="47"/>
        <v>0</v>
      </c>
      <c r="AC493">
        <f>+IF(Table3[[#This Row],[Do Both Parties have to agree for extension to occur?]]="Yes",0,IF(AND(W493="Yes",Q493="Yes"),IF(R493=X493,R493,MAX(R493,X493)),IF(AND(W493="Yes",OR(Q493="No",Q493="")),X493,IF(AND(OR(W493="No",W493=""),Q493="Yes"),R493,0))))</f>
        <v>0</v>
      </c>
      <c r="AD493" s="69"/>
      <c r="AE493" s="69"/>
      <c r="AF493" t="str">
        <f>IF(AD493="Monthly",Table3[[#This Row],[Assessed Term]]*12,IF(AD493="quarterly",Table3[[#This Row],[Assessed Term]]*4,IF(AD493="annually",Table3[[#This Row],[Assessed Term]]*1,IF(AD493="weekly",Table3[[#This Row],[Assessed Term]]*52,IF(AD493="semiannually",Table3[[#This Row],[Assessed Term]]*2," ")))))</f>
        <v xml:space="preserve"> </v>
      </c>
      <c r="AG493" s="69"/>
      <c r="AH493" s="69"/>
      <c r="AI493" s="73"/>
      <c r="AJ493" s="73"/>
      <c r="AK493" s="73"/>
      <c r="AL493" s="69"/>
      <c r="AM493" s="69"/>
      <c r="AN493" s="120"/>
      <c r="AO493" s="76" t="b">
        <f>IF(K493 = "Lease",+PV(AN493/(AF493/Table3[[#This Row],[Assessed Term]]),AF493,-AI493,0,IF(AE493="Beginning",1,0)))</f>
        <v>0</v>
      </c>
      <c r="AP493" s="69"/>
      <c r="AQ493" s="76">
        <f t="shared" si="49"/>
        <v>0</v>
      </c>
      <c r="AR493" s="72"/>
    </row>
    <row r="494" spans="1:44">
      <c r="A494" s="69"/>
      <c r="B494" s="70"/>
      <c r="C494" s="69"/>
      <c r="D494" s="69"/>
      <c r="E494" s="69"/>
      <c r="F494" s="69"/>
      <c r="G494" s="69"/>
      <c r="H494" s="69"/>
      <c r="I494" s="69"/>
      <c r="J494" s="69"/>
      <c r="K494" t="str">
        <f t="shared" si="45"/>
        <v>Not a Lease</v>
      </c>
      <c r="L494" s="69"/>
      <c r="M494" s="69"/>
      <c r="N494" s="69"/>
      <c r="O494" s="69"/>
      <c r="P494" s="69"/>
      <c r="Q494" s="69"/>
      <c r="R494" s="69"/>
      <c r="S494" s="69"/>
      <c r="T494" s="69"/>
      <c r="U494" s="69"/>
      <c r="V494" s="69"/>
      <c r="W494" s="69"/>
      <c r="X494" s="69"/>
      <c r="Y494" s="69"/>
      <c r="Z494">
        <f t="shared" si="48"/>
        <v>0</v>
      </c>
      <c r="AA494">
        <f t="shared" si="46"/>
        <v>0</v>
      </c>
      <c r="AB494">
        <f t="shared" si="47"/>
        <v>0</v>
      </c>
      <c r="AC494">
        <f>+IF(Table3[[#This Row],[Do Both Parties have to agree for extension to occur?]]="Yes",0,IF(AND(W494="Yes",Q494="Yes"),IF(R494=X494,R494,MAX(R494,X494)),IF(AND(W494="Yes",OR(Q494="No",Q494="")),X494,IF(AND(OR(W494="No",W494=""),Q494="Yes"),R494,0))))</f>
        <v>0</v>
      </c>
      <c r="AD494" s="69"/>
      <c r="AE494" s="69"/>
      <c r="AF494" t="str">
        <f>IF(AD494="Monthly",Table3[[#This Row],[Assessed Term]]*12,IF(AD494="quarterly",Table3[[#This Row],[Assessed Term]]*4,IF(AD494="annually",Table3[[#This Row],[Assessed Term]]*1,IF(AD494="weekly",Table3[[#This Row],[Assessed Term]]*52,IF(AD494="semiannually",Table3[[#This Row],[Assessed Term]]*2," ")))))</f>
        <v xml:space="preserve"> </v>
      </c>
      <c r="AG494" s="69"/>
      <c r="AH494" s="69"/>
      <c r="AI494" s="73"/>
      <c r="AJ494" s="73"/>
      <c r="AK494" s="73"/>
      <c r="AL494" s="69"/>
      <c r="AM494" s="69"/>
      <c r="AN494" s="120"/>
      <c r="AO494" s="76" t="b">
        <f>IF(K494 = "Lease",+PV(AN494/(AF494/Table3[[#This Row],[Assessed Term]]),AF494,-AI494,0,IF(AE494="Beginning",1,0)))</f>
        <v>0</v>
      </c>
      <c r="AP494" s="69"/>
      <c r="AQ494" s="76">
        <f t="shared" si="49"/>
        <v>0</v>
      </c>
      <c r="AR494" s="72"/>
    </row>
    <row r="495" spans="1:44">
      <c r="A495" s="69"/>
      <c r="B495" s="70"/>
      <c r="C495" s="69"/>
      <c r="D495" s="69"/>
      <c r="E495" s="69"/>
      <c r="F495" s="69"/>
      <c r="G495" s="69"/>
      <c r="H495" s="69"/>
      <c r="I495" s="69"/>
      <c r="J495" s="69"/>
      <c r="K495" t="str">
        <f t="shared" si="45"/>
        <v>Not a Lease</v>
      </c>
      <c r="L495" s="69"/>
      <c r="M495" s="69"/>
      <c r="N495" s="69"/>
      <c r="O495" s="69"/>
      <c r="P495" s="69"/>
      <c r="Q495" s="69"/>
      <c r="R495" s="69"/>
      <c r="S495" s="69"/>
      <c r="T495" s="69"/>
      <c r="U495" s="69"/>
      <c r="V495" s="69"/>
      <c r="W495" s="69"/>
      <c r="X495" s="69"/>
      <c r="Y495" s="69"/>
      <c r="Z495">
        <f t="shared" si="48"/>
        <v>0</v>
      </c>
      <c r="AA495">
        <f t="shared" si="46"/>
        <v>0</v>
      </c>
      <c r="AB495">
        <f t="shared" si="47"/>
        <v>0</v>
      </c>
      <c r="AC495">
        <f>+IF(Table3[[#This Row],[Do Both Parties have to agree for extension to occur?]]="Yes",0,IF(AND(W495="Yes",Q495="Yes"),IF(R495=X495,R495,MAX(R495,X495)),IF(AND(W495="Yes",OR(Q495="No",Q495="")),X495,IF(AND(OR(W495="No",W495=""),Q495="Yes"),R495,0))))</f>
        <v>0</v>
      </c>
      <c r="AD495" s="69"/>
      <c r="AE495" s="69"/>
      <c r="AF495" t="str">
        <f>IF(AD495="Monthly",Table3[[#This Row],[Assessed Term]]*12,IF(AD495="quarterly",Table3[[#This Row],[Assessed Term]]*4,IF(AD495="annually",Table3[[#This Row],[Assessed Term]]*1,IF(AD495="weekly",Table3[[#This Row],[Assessed Term]]*52,IF(AD495="semiannually",Table3[[#This Row],[Assessed Term]]*2," ")))))</f>
        <v xml:space="preserve"> </v>
      </c>
      <c r="AG495" s="69"/>
      <c r="AH495" s="69"/>
      <c r="AI495" s="73"/>
      <c r="AJ495" s="73"/>
      <c r="AK495" s="73"/>
      <c r="AL495" s="69"/>
      <c r="AM495" s="69"/>
      <c r="AN495" s="120"/>
      <c r="AO495" s="76" t="b">
        <f>IF(K495 = "Lease",+PV(AN495/(AF495/Table3[[#This Row],[Assessed Term]]),AF495,-AI495,0,IF(AE495="Beginning",1,0)))</f>
        <v>0</v>
      </c>
      <c r="AP495" s="69"/>
      <c r="AQ495" s="76">
        <f t="shared" si="49"/>
        <v>0</v>
      </c>
      <c r="AR495" s="72"/>
    </row>
    <row r="496" spans="1:44">
      <c r="A496" s="69"/>
      <c r="B496" s="70"/>
      <c r="C496" s="69"/>
      <c r="D496" s="69"/>
      <c r="E496" s="69"/>
      <c r="F496" s="69"/>
      <c r="G496" s="69"/>
      <c r="H496" s="69"/>
      <c r="I496" s="69"/>
      <c r="J496" s="69"/>
      <c r="K496" t="str">
        <f t="shared" si="45"/>
        <v>Not a Lease</v>
      </c>
      <c r="L496" s="69"/>
      <c r="M496" s="69"/>
      <c r="N496" s="69"/>
      <c r="O496" s="69"/>
      <c r="P496" s="69"/>
      <c r="Q496" s="69"/>
      <c r="R496" s="69"/>
      <c r="S496" s="69"/>
      <c r="T496" s="69"/>
      <c r="U496" s="69"/>
      <c r="V496" s="69"/>
      <c r="W496" s="69"/>
      <c r="X496" s="69"/>
      <c r="Y496" s="69"/>
      <c r="Z496">
        <f t="shared" si="48"/>
        <v>0</v>
      </c>
      <c r="AA496">
        <f t="shared" si="46"/>
        <v>0</v>
      </c>
      <c r="AB496">
        <f t="shared" si="47"/>
        <v>0</v>
      </c>
      <c r="AC496">
        <f>+IF(Table3[[#This Row],[Do Both Parties have to agree for extension to occur?]]="Yes",0,IF(AND(W496="Yes",Q496="Yes"),IF(R496=X496,R496,MAX(R496,X496)),IF(AND(W496="Yes",OR(Q496="No",Q496="")),X496,IF(AND(OR(W496="No",W496=""),Q496="Yes"),R496,0))))</f>
        <v>0</v>
      </c>
      <c r="AD496" s="69"/>
      <c r="AE496" s="69"/>
      <c r="AF496" t="str">
        <f>IF(AD496="Monthly",Table3[[#This Row],[Assessed Term]]*12,IF(AD496="quarterly",Table3[[#This Row],[Assessed Term]]*4,IF(AD496="annually",Table3[[#This Row],[Assessed Term]]*1,IF(AD496="weekly",Table3[[#This Row],[Assessed Term]]*52,IF(AD496="semiannually",Table3[[#This Row],[Assessed Term]]*2," ")))))</f>
        <v xml:space="preserve"> </v>
      </c>
      <c r="AG496" s="69"/>
      <c r="AH496" s="69"/>
      <c r="AI496" s="73"/>
      <c r="AJ496" s="73"/>
      <c r="AK496" s="73"/>
      <c r="AL496" s="69"/>
      <c r="AM496" s="69"/>
      <c r="AN496" s="120"/>
      <c r="AO496" s="76" t="b">
        <f>IF(K496 = "Lease",+PV(AN496/(AF496/Table3[[#This Row],[Assessed Term]]),AF496,-AI496,0,IF(AE496="Beginning",1,0)))</f>
        <v>0</v>
      </c>
      <c r="AP496" s="69"/>
      <c r="AQ496" s="76">
        <f t="shared" si="49"/>
        <v>0</v>
      </c>
      <c r="AR496" s="72"/>
    </row>
    <row r="497" spans="1:44">
      <c r="A497" s="69"/>
      <c r="B497" s="70"/>
      <c r="C497" s="69"/>
      <c r="D497" s="69"/>
      <c r="E497" s="69"/>
      <c r="F497" s="69"/>
      <c r="G497" s="69"/>
      <c r="H497" s="69"/>
      <c r="I497" s="69"/>
      <c r="J497" s="69"/>
      <c r="K497" t="str">
        <f t="shared" si="45"/>
        <v>Not a Lease</v>
      </c>
      <c r="L497" s="69"/>
      <c r="M497" s="69"/>
      <c r="N497" s="69"/>
      <c r="O497" s="69"/>
      <c r="P497" s="69"/>
      <c r="Q497" s="69"/>
      <c r="R497" s="69"/>
      <c r="S497" s="69"/>
      <c r="T497" s="69"/>
      <c r="U497" s="69"/>
      <c r="V497" s="69"/>
      <c r="W497" s="69"/>
      <c r="X497" s="69"/>
      <c r="Y497" s="69"/>
      <c r="Z497">
        <f t="shared" si="48"/>
        <v>0</v>
      </c>
      <c r="AA497">
        <f t="shared" si="46"/>
        <v>0</v>
      </c>
      <c r="AB497">
        <f t="shared" si="47"/>
        <v>0</v>
      </c>
      <c r="AC497">
        <f>+IF(Table3[[#This Row],[Do Both Parties have to agree for extension to occur?]]="Yes",0,IF(AND(W497="Yes",Q497="Yes"),IF(R497=X497,R497,MAX(R497,X497)),IF(AND(W497="Yes",OR(Q497="No",Q497="")),X497,IF(AND(OR(W497="No",W497=""),Q497="Yes"),R497,0))))</f>
        <v>0</v>
      </c>
      <c r="AD497" s="69"/>
      <c r="AE497" s="69"/>
      <c r="AF497" t="str">
        <f>IF(AD497="Monthly",Table3[[#This Row],[Assessed Term]]*12,IF(AD497="quarterly",Table3[[#This Row],[Assessed Term]]*4,IF(AD497="annually",Table3[[#This Row],[Assessed Term]]*1,IF(AD497="weekly",Table3[[#This Row],[Assessed Term]]*52,IF(AD497="semiannually",Table3[[#This Row],[Assessed Term]]*2," ")))))</f>
        <v xml:space="preserve"> </v>
      </c>
      <c r="AG497" s="69"/>
      <c r="AH497" s="69"/>
      <c r="AI497" s="73"/>
      <c r="AJ497" s="73"/>
      <c r="AK497" s="73"/>
      <c r="AL497" s="69"/>
      <c r="AM497" s="69"/>
      <c r="AN497" s="120"/>
      <c r="AO497" s="76" t="b">
        <f>IF(K497 = "Lease",+PV(AN497/(AF497/Table3[[#This Row],[Assessed Term]]),AF497,-AI497,0,IF(AE497="Beginning",1,0)))</f>
        <v>0</v>
      </c>
      <c r="AP497" s="69"/>
      <c r="AQ497" s="76">
        <f t="shared" si="49"/>
        <v>0</v>
      </c>
      <c r="AR497" s="72"/>
    </row>
    <row r="498" spans="1:44">
      <c r="A498" s="69"/>
      <c r="B498" s="70"/>
      <c r="C498" s="69"/>
      <c r="D498" s="69"/>
      <c r="E498" s="69"/>
      <c r="F498" s="69"/>
      <c r="G498" s="69"/>
      <c r="H498" s="69"/>
      <c r="I498" s="69"/>
      <c r="J498" s="69"/>
      <c r="K498" t="str">
        <f t="shared" si="45"/>
        <v>Not a Lease</v>
      </c>
      <c r="L498" s="69"/>
      <c r="M498" s="69"/>
      <c r="N498" s="69"/>
      <c r="O498" s="69"/>
      <c r="P498" s="69"/>
      <c r="Q498" s="69"/>
      <c r="R498" s="69"/>
      <c r="S498" s="69"/>
      <c r="T498" s="69"/>
      <c r="U498" s="69"/>
      <c r="V498" s="69"/>
      <c r="W498" s="69"/>
      <c r="X498" s="69"/>
      <c r="Y498" s="69"/>
      <c r="Z498">
        <f t="shared" si="48"/>
        <v>0</v>
      </c>
      <c r="AA498">
        <f t="shared" si="46"/>
        <v>0</v>
      </c>
      <c r="AB498">
        <f t="shared" si="47"/>
        <v>0</v>
      </c>
      <c r="AC498">
        <f>+IF(Table3[[#This Row],[Do Both Parties have to agree for extension to occur?]]="Yes",0,IF(AND(W498="Yes",Q498="Yes"),IF(R498=X498,R498,MAX(R498,X498)),IF(AND(W498="Yes",OR(Q498="No",Q498="")),X498,IF(AND(OR(W498="No",W498=""),Q498="Yes"),R498,0))))</f>
        <v>0</v>
      </c>
      <c r="AD498" s="69"/>
      <c r="AE498" s="69"/>
      <c r="AF498" t="str">
        <f>IF(AD498="Monthly",Table3[[#This Row],[Assessed Term]]*12,IF(AD498="quarterly",Table3[[#This Row],[Assessed Term]]*4,IF(AD498="annually",Table3[[#This Row],[Assessed Term]]*1,IF(AD498="weekly",Table3[[#This Row],[Assessed Term]]*52,IF(AD498="semiannually",Table3[[#This Row],[Assessed Term]]*2," ")))))</f>
        <v xml:space="preserve"> </v>
      </c>
      <c r="AG498" s="69"/>
      <c r="AH498" s="69"/>
      <c r="AI498" s="73"/>
      <c r="AJ498" s="73"/>
      <c r="AK498" s="73"/>
      <c r="AL498" s="69"/>
      <c r="AM498" s="69"/>
      <c r="AN498" s="120"/>
      <c r="AO498" s="76" t="b">
        <f>IF(K498 = "Lease",+PV(AN498/(AF498/Table3[[#This Row],[Assessed Term]]),AF498,-AI498,0,IF(AE498="Beginning",1,0)))</f>
        <v>0</v>
      </c>
      <c r="AP498" s="69"/>
      <c r="AQ498" s="76">
        <f t="shared" si="49"/>
        <v>0</v>
      </c>
      <c r="AR498" s="72"/>
    </row>
    <row r="499" spans="1:44">
      <c r="A499" s="69"/>
      <c r="B499" s="70"/>
      <c r="C499" s="69"/>
      <c r="D499" s="69"/>
      <c r="E499" s="69"/>
      <c r="F499" s="69"/>
      <c r="G499" s="69"/>
      <c r="H499" s="69"/>
      <c r="I499" s="69"/>
      <c r="J499" s="69"/>
      <c r="K499" t="str">
        <f t="shared" si="45"/>
        <v>Not a Lease</v>
      </c>
      <c r="L499" s="69"/>
      <c r="M499" s="69"/>
      <c r="N499" s="69"/>
      <c r="O499" s="69"/>
      <c r="P499" s="69"/>
      <c r="Q499" s="69"/>
      <c r="R499" s="69"/>
      <c r="S499" s="69"/>
      <c r="T499" s="69"/>
      <c r="U499" s="69"/>
      <c r="V499" s="69"/>
      <c r="W499" s="69"/>
      <c r="X499" s="69"/>
      <c r="Y499" s="69"/>
      <c r="Z499">
        <f t="shared" si="48"/>
        <v>0</v>
      </c>
      <c r="AA499">
        <f t="shared" si="46"/>
        <v>0</v>
      </c>
      <c r="AB499">
        <f t="shared" si="47"/>
        <v>0</v>
      </c>
      <c r="AC499">
        <f>+IF(Table3[[#This Row],[Do Both Parties have to agree for extension to occur?]]="Yes",0,IF(AND(W499="Yes",Q499="Yes"),IF(R499=X499,R499,MAX(R499,X499)),IF(AND(W499="Yes",OR(Q499="No",Q499="")),X499,IF(AND(OR(W499="No",W499=""),Q499="Yes"),R499,0))))</f>
        <v>0</v>
      </c>
      <c r="AD499" s="69"/>
      <c r="AE499" s="69"/>
      <c r="AF499" t="str">
        <f>IF(AD499="Monthly",Table3[[#This Row],[Assessed Term]]*12,IF(AD499="quarterly",Table3[[#This Row],[Assessed Term]]*4,IF(AD499="annually",Table3[[#This Row],[Assessed Term]]*1,IF(AD499="weekly",Table3[[#This Row],[Assessed Term]]*52,IF(AD499="semiannually",Table3[[#This Row],[Assessed Term]]*2," ")))))</f>
        <v xml:space="preserve"> </v>
      </c>
      <c r="AG499" s="69"/>
      <c r="AH499" s="69"/>
      <c r="AI499" s="73"/>
      <c r="AJ499" s="73"/>
      <c r="AK499" s="73"/>
      <c r="AL499" s="69"/>
      <c r="AM499" s="69"/>
      <c r="AN499" s="120"/>
      <c r="AO499" s="76" t="b">
        <f>IF(K499 = "Lease",+PV(AN499/(AF499/Table3[[#This Row],[Assessed Term]]),AF499,-AI499,0,IF(AE499="Beginning",1,0)))</f>
        <v>0</v>
      </c>
      <c r="AP499" s="69"/>
      <c r="AQ499" s="76">
        <f t="shared" si="49"/>
        <v>0</v>
      </c>
      <c r="AR499" s="72"/>
    </row>
    <row r="500" spans="1:44">
      <c r="A500" s="69"/>
      <c r="B500" s="70"/>
      <c r="C500" s="69"/>
      <c r="D500" s="69"/>
      <c r="E500" s="69"/>
      <c r="F500" s="69"/>
      <c r="G500" s="69"/>
      <c r="H500" s="69"/>
      <c r="I500" s="69"/>
      <c r="J500" s="69"/>
      <c r="K500" t="str">
        <f t="shared" si="45"/>
        <v>Not a Lease</v>
      </c>
      <c r="L500" s="69"/>
      <c r="M500" s="69"/>
      <c r="N500" s="69"/>
      <c r="O500" s="69"/>
      <c r="P500" s="69"/>
      <c r="Q500" s="69"/>
      <c r="R500" s="69"/>
      <c r="S500" s="69"/>
      <c r="T500" s="69"/>
      <c r="U500" s="69"/>
      <c r="V500" s="69"/>
      <c r="W500" s="69"/>
      <c r="X500" s="69"/>
      <c r="Y500" s="69"/>
      <c r="Z500">
        <f t="shared" si="48"/>
        <v>0</v>
      </c>
      <c r="AA500">
        <f t="shared" si="46"/>
        <v>0</v>
      </c>
      <c r="AB500">
        <f t="shared" si="47"/>
        <v>0</v>
      </c>
      <c r="AC500">
        <f>+IF(Table3[[#This Row],[Do Both Parties have to agree for extension to occur?]]="Yes",0,IF(AND(W500="Yes",Q500="Yes"),IF(R500=X500,R500,MAX(R500,X500)),IF(AND(W500="Yes",OR(Q500="No",Q500="")),X500,IF(AND(OR(W500="No",W500=""),Q500="Yes"),R500,0))))</f>
        <v>0</v>
      </c>
      <c r="AD500" s="69"/>
      <c r="AE500" s="69"/>
      <c r="AF500" t="str">
        <f>IF(AD500="Monthly",Table3[[#This Row],[Assessed Term]]*12,IF(AD500="quarterly",Table3[[#This Row],[Assessed Term]]*4,IF(AD500="annually",Table3[[#This Row],[Assessed Term]]*1,IF(AD500="weekly",Table3[[#This Row],[Assessed Term]]*52,IF(AD500="semiannually",Table3[[#This Row],[Assessed Term]]*2," ")))))</f>
        <v xml:space="preserve"> </v>
      </c>
      <c r="AG500" s="69"/>
      <c r="AH500" s="69"/>
      <c r="AI500" s="73"/>
      <c r="AJ500" s="73"/>
      <c r="AK500" s="73"/>
      <c r="AL500" s="69"/>
      <c r="AM500" s="69"/>
      <c r="AN500" s="120"/>
      <c r="AO500" s="76" t="b">
        <f>IF(K500 = "Lease",+PV(AN500/(AF500/Table3[[#This Row],[Assessed Term]]),AF500,-AI500,0,IF(AE500="Beginning",1,0)))</f>
        <v>0</v>
      </c>
      <c r="AP500" s="69"/>
      <c r="AQ500" s="76">
        <f t="shared" si="49"/>
        <v>0</v>
      </c>
      <c r="AR500" s="72"/>
    </row>
    <row r="501" spans="1:44">
      <c r="A501" s="69"/>
      <c r="B501" s="70"/>
      <c r="C501" s="69"/>
      <c r="D501" s="69"/>
      <c r="E501" s="69"/>
      <c r="F501" s="69"/>
      <c r="G501" s="69"/>
      <c r="H501" s="69"/>
      <c r="I501" s="69"/>
      <c r="J501" s="69"/>
      <c r="K501" t="str">
        <f t="shared" si="45"/>
        <v>Not a Lease</v>
      </c>
      <c r="L501" s="69"/>
      <c r="M501" s="69"/>
      <c r="N501" s="69"/>
      <c r="O501" s="69"/>
      <c r="P501" s="69"/>
      <c r="Q501" s="69"/>
      <c r="R501" s="69"/>
      <c r="S501" s="69"/>
      <c r="T501" s="69"/>
      <c r="U501" s="69"/>
      <c r="V501" s="69"/>
      <c r="W501" s="69"/>
      <c r="X501" s="69"/>
      <c r="Y501" s="69"/>
      <c r="Z501">
        <f t="shared" si="48"/>
        <v>0</v>
      </c>
      <c r="AA501">
        <f t="shared" si="46"/>
        <v>0</v>
      </c>
      <c r="AB501">
        <f t="shared" si="47"/>
        <v>0</v>
      </c>
      <c r="AC501">
        <f>+IF(Table3[[#This Row],[Do Both Parties have to agree for extension to occur?]]="Yes",0,IF(AND(W501="Yes",Q501="Yes"),IF(R501=X501,R501,MAX(R501,X501)),IF(AND(W501="Yes",OR(Q501="No",Q501="")),X501,IF(AND(OR(W501="No",W501=""),Q501="Yes"),R501,0))))</f>
        <v>0</v>
      </c>
      <c r="AD501" s="69"/>
      <c r="AE501" s="69"/>
      <c r="AF501" t="str">
        <f>IF(AD501="Monthly",Table3[[#This Row],[Assessed Term]]*12,IF(AD501="quarterly",Table3[[#This Row],[Assessed Term]]*4,IF(AD501="annually",Table3[[#This Row],[Assessed Term]]*1,IF(AD501="weekly",Table3[[#This Row],[Assessed Term]]*52,IF(AD501="semiannually",Table3[[#This Row],[Assessed Term]]*2," ")))))</f>
        <v xml:space="preserve"> </v>
      </c>
      <c r="AG501" s="69"/>
      <c r="AH501" s="69"/>
      <c r="AI501" s="73"/>
      <c r="AJ501" s="73"/>
      <c r="AK501" s="73"/>
      <c r="AL501" s="69"/>
      <c r="AM501" s="69"/>
      <c r="AN501" s="120"/>
      <c r="AO501" s="76" t="b">
        <f>IF(K501 = "Lease",+PV(AN501/(AF501/Table3[[#This Row],[Assessed Term]]),AF501,-AI501,0,IF(AE501="Beginning",1,0)))</f>
        <v>0</v>
      </c>
      <c r="AP501" s="69"/>
      <c r="AQ501" s="76">
        <f t="shared" si="49"/>
        <v>0</v>
      </c>
      <c r="AR501" s="72"/>
    </row>
    <row r="502" spans="1:44">
      <c r="A502" s="69"/>
      <c r="B502" s="70"/>
      <c r="C502" s="69"/>
      <c r="D502" s="69"/>
      <c r="E502" s="69"/>
      <c r="F502" s="69"/>
      <c r="G502" s="69"/>
      <c r="H502" s="69"/>
      <c r="I502" s="69"/>
      <c r="J502" s="69"/>
      <c r="K502" t="str">
        <f t="shared" si="45"/>
        <v>Not a Lease</v>
      </c>
      <c r="L502" s="69"/>
      <c r="M502" s="69"/>
      <c r="N502" s="69"/>
      <c r="O502" s="69"/>
      <c r="P502" s="69"/>
      <c r="Q502" s="69"/>
      <c r="R502" s="69"/>
      <c r="S502" s="69"/>
      <c r="T502" s="69"/>
      <c r="U502" s="69"/>
      <c r="V502" s="69"/>
      <c r="W502" s="69"/>
      <c r="X502" s="69"/>
      <c r="Y502" s="69"/>
      <c r="Z502">
        <f t="shared" si="48"/>
        <v>0</v>
      </c>
      <c r="AA502">
        <f t="shared" si="46"/>
        <v>0</v>
      </c>
      <c r="AB502">
        <f t="shared" si="47"/>
        <v>0</v>
      </c>
      <c r="AC502">
        <f>+IF(Table3[[#This Row],[Do Both Parties have to agree for extension to occur?]]="Yes",0,IF(AND(W502="Yes",Q502="Yes"),IF(R502=X502,R502,MAX(R502,X502)),IF(AND(W502="Yes",OR(Q502="No",Q502="")),X502,IF(AND(OR(W502="No",W502=""),Q502="Yes"),R502,0))))</f>
        <v>0</v>
      </c>
      <c r="AD502" s="69"/>
      <c r="AE502" s="69"/>
      <c r="AF502" t="str">
        <f>IF(AD502="Monthly",Table3[[#This Row],[Assessed Term]]*12,IF(AD502="quarterly",Table3[[#This Row],[Assessed Term]]*4,IF(AD502="annually",Table3[[#This Row],[Assessed Term]]*1,IF(AD502="weekly",Table3[[#This Row],[Assessed Term]]*52,IF(AD502="semiannually",Table3[[#This Row],[Assessed Term]]*2," ")))))</f>
        <v xml:space="preserve"> </v>
      </c>
      <c r="AG502" s="69"/>
      <c r="AH502" s="69"/>
      <c r="AI502" s="73"/>
      <c r="AJ502" s="73"/>
      <c r="AK502" s="73"/>
      <c r="AL502" s="69"/>
      <c r="AM502" s="69"/>
      <c r="AN502" s="120"/>
      <c r="AO502" s="76" t="b">
        <f>IF(K502 = "Lease",+PV(AN502/(AF502/Table3[[#This Row],[Assessed Term]]),AF502,-AI502,0,IF(AE502="Beginning",1,0)))</f>
        <v>0</v>
      </c>
      <c r="AP502" s="69"/>
      <c r="AQ502" s="76">
        <f t="shared" si="49"/>
        <v>0</v>
      </c>
      <c r="AR502" s="72"/>
    </row>
    <row r="503" spans="1:44">
      <c r="A503" s="69"/>
      <c r="B503" s="70"/>
      <c r="C503" s="69"/>
      <c r="D503" s="69"/>
      <c r="E503" s="69"/>
      <c r="F503" s="69"/>
      <c r="G503" s="69"/>
      <c r="H503" s="69"/>
      <c r="I503" s="69"/>
      <c r="J503" s="69"/>
      <c r="K503" t="str">
        <f t="shared" si="45"/>
        <v>Not a Lease</v>
      </c>
      <c r="L503" s="69"/>
      <c r="M503" s="69"/>
      <c r="N503" s="69"/>
      <c r="O503" s="69"/>
      <c r="P503" s="69"/>
      <c r="Q503" s="69"/>
      <c r="R503" s="69"/>
      <c r="S503" s="69"/>
      <c r="T503" s="69"/>
      <c r="U503" s="69"/>
      <c r="V503" s="69"/>
      <c r="W503" s="69"/>
      <c r="X503" s="69"/>
      <c r="Y503" s="69"/>
      <c r="Z503">
        <f t="shared" si="48"/>
        <v>0</v>
      </c>
      <c r="AA503">
        <f t="shared" si="46"/>
        <v>0</v>
      </c>
      <c r="AB503">
        <f t="shared" si="47"/>
        <v>0</v>
      </c>
      <c r="AC503">
        <f>+IF(Table3[[#This Row],[Do Both Parties have to agree for extension to occur?]]="Yes",0,IF(AND(W503="Yes",Q503="Yes"),IF(R503=X503,R503,MAX(R503,X503)),IF(AND(W503="Yes",OR(Q503="No",Q503="")),X503,IF(AND(OR(W503="No",W503=""),Q503="Yes"),R503,0))))</f>
        <v>0</v>
      </c>
      <c r="AD503" s="69"/>
      <c r="AE503" s="69"/>
      <c r="AF503" t="str">
        <f>IF(AD503="Monthly",Table3[[#This Row],[Assessed Term]]*12,IF(AD503="quarterly",Table3[[#This Row],[Assessed Term]]*4,IF(AD503="annually",Table3[[#This Row],[Assessed Term]]*1,IF(AD503="weekly",Table3[[#This Row],[Assessed Term]]*52,IF(AD503="semiannually",Table3[[#This Row],[Assessed Term]]*2," ")))))</f>
        <v xml:space="preserve"> </v>
      </c>
      <c r="AG503" s="69"/>
      <c r="AH503" s="69"/>
      <c r="AI503" s="73"/>
      <c r="AJ503" s="73"/>
      <c r="AK503" s="73"/>
      <c r="AL503" s="69"/>
      <c r="AM503" s="69"/>
      <c r="AN503" s="120"/>
      <c r="AO503" s="76" t="b">
        <f>IF(K503 = "Lease",+PV(AN503/(AF503/Table3[[#This Row],[Assessed Term]]),AF503,-AI503,0,IF(AE503="Beginning",1,0)))</f>
        <v>0</v>
      </c>
      <c r="AP503" s="69"/>
      <c r="AQ503" s="76">
        <f t="shared" si="49"/>
        <v>0</v>
      </c>
      <c r="AR503" s="72"/>
    </row>
    <row r="504" spans="1:44">
      <c r="A504" s="69"/>
      <c r="B504" s="70"/>
      <c r="C504" s="69"/>
      <c r="D504" s="69"/>
      <c r="E504" s="69"/>
      <c r="F504" s="69"/>
      <c r="G504" s="69"/>
      <c r="H504" s="69"/>
      <c r="I504" s="69"/>
      <c r="J504" s="69"/>
      <c r="K504" t="str">
        <f t="shared" si="45"/>
        <v>Not a Lease</v>
      </c>
      <c r="L504" s="69"/>
      <c r="M504" s="69"/>
      <c r="N504" s="69"/>
      <c r="O504" s="69"/>
      <c r="P504" s="69"/>
      <c r="Q504" s="69"/>
      <c r="R504" s="69"/>
      <c r="S504" s="69"/>
      <c r="T504" s="69"/>
      <c r="U504" s="69"/>
      <c r="V504" s="69"/>
      <c r="W504" s="69"/>
      <c r="X504" s="69"/>
      <c r="Y504" s="69"/>
      <c r="Z504">
        <f t="shared" si="48"/>
        <v>0</v>
      </c>
      <c r="AA504">
        <f t="shared" si="46"/>
        <v>0</v>
      </c>
      <c r="AB504">
        <f t="shared" si="47"/>
        <v>0</v>
      </c>
      <c r="AC504">
        <f>+IF(Table3[[#This Row],[Do Both Parties have to agree for extension to occur?]]="Yes",0,IF(AND(W504="Yes",Q504="Yes"),IF(R504=X504,R504,MAX(R504,X504)),IF(AND(W504="Yes",OR(Q504="No",Q504="")),X504,IF(AND(OR(W504="No",W504=""),Q504="Yes"),R504,0))))</f>
        <v>0</v>
      </c>
      <c r="AD504" s="69"/>
      <c r="AE504" s="69"/>
      <c r="AF504" t="str">
        <f>IF(AD504="Monthly",Table3[[#This Row],[Assessed Term]]*12,IF(AD504="quarterly",Table3[[#This Row],[Assessed Term]]*4,IF(AD504="annually",Table3[[#This Row],[Assessed Term]]*1,IF(AD504="weekly",Table3[[#This Row],[Assessed Term]]*52,IF(AD504="semiannually",Table3[[#This Row],[Assessed Term]]*2," ")))))</f>
        <v xml:space="preserve"> </v>
      </c>
      <c r="AG504" s="69"/>
      <c r="AH504" s="69"/>
      <c r="AI504" s="73"/>
      <c r="AJ504" s="73"/>
      <c r="AK504" s="73"/>
      <c r="AL504" s="69"/>
      <c r="AM504" s="69"/>
      <c r="AN504" s="120"/>
      <c r="AO504" s="76" t="b">
        <f>IF(K504 = "Lease",+PV(AN504/(AF504/Table3[[#This Row],[Assessed Term]]),AF504,-AI504,0,IF(AE504="Beginning",1,0)))</f>
        <v>0</v>
      </c>
      <c r="AP504" s="69"/>
      <c r="AQ504" s="76">
        <f t="shared" si="49"/>
        <v>0</v>
      </c>
      <c r="AR504" s="72"/>
    </row>
    <row r="505" spans="1:44">
      <c r="A505" s="69"/>
      <c r="B505" s="70"/>
      <c r="C505" s="69"/>
      <c r="D505" s="69"/>
      <c r="E505" s="69"/>
      <c r="F505" s="69"/>
      <c r="G505" s="69"/>
      <c r="H505" s="69"/>
      <c r="I505" s="69"/>
      <c r="J505" s="69"/>
      <c r="K505" t="str">
        <f t="shared" si="45"/>
        <v>Not a Lease</v>
      </c>
      <c r="L505" s="69"/>
      <c r="M505" s="69"/>
      <c r="N505" s="69"/>
      <c r="O505" s="69"/>
      <c r="P505" s="69"/>
      <c r="Q505" s="69"/>
      <c r="R505" s="69"/>
      <c r="S505" s="69"/>
      <c r="T505" s="69"/>
      <c r="U505" s="69"/>
      <c r="V505" s="69"/>
      <c r="W505" s="69"/>
      <c r="X505" s="69"/>
      <c r="Y505" s="69"/>
      <c r="Z505">
        <f t="shared" si="48"/>
        <v>0</v>
      </c>
      <c r="AA505">
        <f t="shared" si="46"/>
        <v>0</v>
      </c>
      <c r="AB505">
        <f t="shared" si="47"/>
        <v>0</v>
      </c>
      <c r="AC505">
        <f>+IF(Table3[[#This Row],[Do Both Parties have to agree for extension to occur?]]="Yes",0,IF(AND(W505="Yes",Q505="Yes"),IF(R505=X505,R505,MAX(R505,X505)),IF(AND(W505="Yes",OR(Q505="No",Q505="")),X505,IF(AND(OR(W505="No",W505=""),Q505="Yes"),R505,0))))</f>
        <v>0</v>
      </c>
      <c r="AD505" s="69"/>
      <c r="AE505" s="69"/>
      <c r="AF505" t="str">
        <f>IF(AD505="Monthly",Table3[[#This Row],[Assessed Term]]*12,IF(AD505="quarterly",Table3[[#This Row],[Assessed Term]]*4,IF(AD505="annually",Table3[[#This Row],[Assessed Term]]*1,IF(AD505="weekly",Table3[[#This Row],[Assessed Term]]*52,IF(AD505="semiannually",Table3[[#This Row],[Assessed Term]]*2," ")))))</f>
        <v xml:space="preserve"> </v>
      </c>
      <c r="AG505" s="69"/>
      <c r="AH505" s="69"/>
      <c r="AI505" s="73"/>
      <c r="AJ505" s="73"/>
      <c r="AK505" s="73"/>
      <c r="AL505" s="69"/>
      <c r="AM505" s="69"/>
      <c r="AN505" s="120"/>
      <c r="AO505" s="76" t="b">
        <f>IF(K505 = "Lease",+PV(AN505/(AF505/Table3[[#This Row],[Assessed Term]]),AF505,-AI505,0,IF(AE505="Beginning",1,0)))</f>
        <v>0</v>
      </c>
      <c r="AP505" s="69"/>
      <c r="AQ505" s="76">
        <f t="shared" si="49"/>
        <v>0</v>
      </c>
      <c r="AR505" s="72"/>
    </row>
    <row r="506" spans="1:44">
      <c r="A506" s="69"/>
      <c r="B506" s="70"/>
      <c r="C506" s="69"/>
      <c r="D506" s="69"/>
      <c r="E506" s="69"/>
      <c r="F506" s="69"/>
      <c r="G506" s="69"/>
      <c r="H506" s="69"/>
      <c r="I506" s="69"/>
      <c r="J506" s="69"/>
      <c r="K506" t="str">
        <f t="shared" si="45"/>
        <v>Not a Lease</v>
      </c>
      <c r="L506" s="69"/>
      <c r="M506" s="69"/>
      <c r="N506" s="69"/>
      <c r="O506" s="69"/>
      <c r="P506" s="69"/>
      <c r="Q506" s="69"/>
      <c r="R506" s="69"/>
      <c r="S506" s="69"/>
      <c r="T506" s="69"/>
      <c r="U506" s="69"/>
      <c r="V506" s="69"/>
      <c r="W506" s="69"/>
      <c r="X506" s="69"/>
      <c r="Y506" s="69"/>
      <c r="Z506">
        <f t="shared" si="48"/>
        <v>0</v>
      </c>
      <c r="AA506">
        <f t="shared" si="46"/>
        <v>0</v>
      </c>
      <c r="AB506">
        <f t="shared" si="47"/>
        <v>0</v>
      </c>
      <c r="AC506">
        <f>+IF(Table3[[#This Row],[Do Both Parties have to agree for extension to occur?]]="Yes",0,IF(AND(W506="Yes",Q506="Yes"),IF(R506=X506,R506,MAX(R506,X506)),IF(AND(W506="Yes",OR(Q506="No",Q506="")),X506,IF(AND(OR(W506="No",W506=""),Q506="Yes"),R506,0))))</f>
        <v>0</v>
      </c>
      <c r="AD506" s="69"/>
      <c r="AE506" s="69"/>
      <c r="AF506" t="str">
        <f>IF(AD506="Monthly",Table3[[#This Row],[Assessed Term]]*12,IF(AD506="quarterly",Table3[[#This Row],[Assessed Term]]*4,IF(AD506="annually",Table3[[#This Row],[Assessed Term]]*1,IF(AD506="weekly",Table3[[#This Row],[Assessed Term]]*52,IF(AD506="semiannually",Table3[[#This Row],[Assessed Term]]*2," ")))))</f>
        <v xml:space="preserve"> </v>
      </c>
      <c r="AG506" s="69"/>
      <c r="AH506" s="69"/>
      <c r="AI506" s="73"/>
      <c r="AJ506" s="73"/>
      <c r="AK506" s="73"/>
      <c r="AL506" s="69"/>
      <c r="AM506" s="69"/>
      <c r="AN506" s="120"/>
      <c r="AO506" s="76" t="b">
        <f>IF(K506 = "Lease",+PV(AN506/(AF506/Table3[[#This Row],[Assessed Term]]),AF506,-AI506,0,IF(AE506="Beginning",1,0)))</f>
        <v>0</v>
      </c>
      <c r="AP506" s="69"/>
      <c r="AQ506" s="76">
        <f t="shared" si="49"/>
        <v>0</v>
      </c>
      <c r="AR506" s="72"/>
    </row>
    <row r="507" spans="1:44">
      <c r="A507" s="69"/>
      <c r="B507" s="70"/>
      <c r="C507" s="69"/>
      <c r="D507" s="69"/>
      <c r="E507" s="69"/>
      <c r="F507" s="69"/>
      <c r="G507" s="69"/>
      <c r="H507" s="69"/>
      <c r="I507" s="69"/>
      <c r="J507" s="69"/>
      <c r="K507" t="str">
        <f t="shared" si="45"/>
        <v>Not a Lease</v>
      </c>
      <c r="L507" s="69"/>
      <c r="M507" s="69"/>
      <c r="N507" s="69"/>
      <c r="O507" s="69"/>
      <c r="P507" s="69"/>
      <c r="Q507" s="69"/>
      <c r="R507" s="69"/>
      <c r="S507" s="69"/>
      <c r="T507" s="69"/>
      <c r="U507" s="69"/>
      <c r="V507" s="69"/>
      <c r="W507" s="69"/>
      <c r="X507" s="69"/>
      <c r="Y507" s="69"/>
      <c r="Z507">
        <f t="shared" si="48"/>
        <v>0</v>
      </c>
      <c r="AA507">
        <f t="shared" si="46"/>
        <v>0</v>
      </c>
      <c r="AB507">
        <f t="shared" si="47"/>
        <v>0</v>
      </c>
      <c r="AC507">
        <f>+IF(Table3[[#This Row],[Do Both Parties have to agree for extension to occur?]]="Yes",0,IF(AND(W507="Yes",Q507="Yes"),IF(R507=X507,R507,MAX(R507,X507)),IF(AND(W507="Yes",OR(Q507="No",Q507="")),X507,IF(AND(OR(W507="No",W507=""),Q507="Yes"),R507,0))))</f>
        <v>0</v>
      </c>
      <c r="AD507" s="69"/>
      <c r="AE507" s="69"/>
      <c r="AF507" t="str">
        <f>IF(AD507="Monthly",Table3[[#This Row],[Assessed Term]]*12,IF(AD507="quarterly",Table3[[#This Row],[Assessed Term]]*4,IF(AD507="annually",Table3[[#This Row],[Assessed Term]]*1,IF(AD507="weekly",Table3[[#This Row],[Assessed Term]]*52,IF(AD507="semiannually",Table3[[#This Row],[Assessed Term]]*2," ")))))</f>
        <v xml:space="preserve"> </v>
      </c>
      <c r="AG507" s="69"/>
      <c r="AH507" s="69"/>
      <c r="AI507" s="73"/>
      <c r="AJ507" s="73"/>
      <c r="AK507" s="73"/>
      <c r="AL507" s="69"/>
      <c r="AM507" s="69"/>
      <c r="AN507" s="120"/>
      <c r="AO507" s="76" t="b">
        <f>IF(K507 = "Lease",+PV(AN507/(AF507/Table3[[#This Row],[Assessed Term]]),AF507,-AI507,0,IF(AE507="Beginning",1,0)))</f>
        <v>0</v>
      </c>
      <c r="AP507" s="69"/>
      <c r="AQ507" s="76">
        <f t="shared" si="49"/>
        <v>0</v>
      </c>
      <c r="AR507" s="72"/>
    </row>
    <row r="508" spans="1:44">
      <c r="A508" s="69"/>
      <c r="B508" s="70"/>
      <c r="C508" s="69"/>
      <c r="D508" s="69"/>
      <c r="E508" s="69"/>
      <c r="F508" s="69"/>
      <c r="G508" s="69"/>
      <c r="H508" s="69"/>
      <c r="I508" s="69"/>
      <c r="J508" s="69"/>
      <c r="K508" t="str">
        <f t="shared" si="45"/>
        <v>Not a Lease</v>
      </c>
      <c r="L508" s="69"/>
      <c r="M508" s="69"/>
      <c r="N508" s="69"/>
      <c r="O508" s="69"/>
      <c r="P508" s="69"/>
      <c r="Q508" s="69"/>
      <c r="R508" s="69"/>
      <c r="S508" s="69"/>
      <c r="T508" s="69"/>
      <c r="U508" s="69"/>
      <c r="V508" s="69"/>
      <c r="W508" s="69"/>
      <c r="X508" s="69"/>
      <c r="Y508" s="69"/>
      <c r="Z508">
        <f t="shared" si="48"/>
        <v>0</v>
      </c>
      <c r="AA508">
        <f t="shared" si="46"/>
        <v>0</v>
      </c>
      <c r="AB508">
        <f t="shared" si="47"/>
        <v>0</v>
      </c>
      <c r="AC508">
        <f>+IF(Table3[[#This Row],[Do Both Parties have to agree for extension to occur?]]="Yes",0,IF(AND(W508="Yes",Q508="Yes"),IF(R508=X508,R508,MAX(R508,X508)),IF(AND(W508="Yes",OR(Q508="No",Q508="")),X508,IF(AND(OR(W508="No",W508=""),Q508="Yes"),R508,0))))</f>
        <v>0</v>
      </c>
      <c r="AD508" s="69"/>
      <c r="AE508" s="69"/>
      <c r="AF508" t="str">
        <f>IF(AD508="Monthly",Table3[[#This Row],[Assessed Term]]*12,IF(AD508="quarterly",Table3[[#This Row],[Assessed Term]]*4,IF(AD508="annually",Table3[[#This Row],[Assessed Term]]*1,IF(AD508="weekly",Table3[[#This Row],[Assessed Term]]*52,IF(AD508="semiannually",Table3[[#This Row],[Assessed Term]]*2," ")))))</f>
        <v xml:space="preserve"> </v>
      </c>
      <c r="AG508" s="69"/>
      <c r="AH508" s="69"/>
      <c r="AI508" s="73"/>
      <c r="AJ508" s="73"/>
      <c r="AK508" s="73"/>
      <c r="AL508" s="69"/>
      <c r="AM508" s="69"/>
      <c r="AN508" s="120"/>
      <c r="AO508" s="76" t="b">
        <f>IF(K508 = "Lease",+PV(AN508/(AF508/Table3[[#This Row],[Assessed Term]]),AF508,-AI508,0,IF(AE508="Beginning",1,0)))</f>
        <v>0</v>
      </c>
      <c r="AP508" s="69"/>
      <c r="AQ508" s="76">
        <f t="shared" si="49"/>
        <v>0</v>
      </c>
      <c r="AR508" s="72"/>
    </row>
    <row r="509" spans="1:44">
      <c r="A509" s="69"/>
      <c r="B509" s="70"/>
      <c r="C509" s="69"/>
      <c r="D509" s="69"/>
      <c r="E509" s="69"/>
      <c r="F509" s="69"/>
      <c r="G509" s="69"/>
      <c r="H509" s="69"/>
      <c r="I509" s="69"/>
      <c r="J509" s="69"/>
      <c r="K509" t="str">
        <f t="shared" si="45"/>
        <v>Not a Lease</v>
      </c>
      <c r="L509" s="69"/>
      <c r="M509" s="69"/>
      <c r="N509" s="69"/>
      <c r="O509" s="69"/>
      <c r="P509" s="69"/>
      <c r="Q509" s="69"/>
      <c r="R509" s="69"/>
      <c r="S509" s="69"/>
      <c r="T509" s="69"/>
      <c r="U509" s="69"/>
      <c r="V509" s="69"/>
      <c r="W509" s="69"/>
      <c r="X509" s="69"/>
      <c r="Y509" s="69"/>
      <c r="Z509">
        <f t="shared" si="48"/>
        <v>0</v>
      </c>
      <c r="AA509">
        <f t="shared" si="46"/>
        <v>0</v>
      </c>
      <c r="AB509">
        <f t="shared" si="47"/>
        <v>0</v>
      </c>
      <c r="AC509">
        <f>+IF(Table3[[#This Row],[Do Both Parties have to agree for extension to occur?]]="Yes",0,IF(AND(W509="Yes",Q509="Yes"),IF(R509=X509,R509,MAX(R509,X509)),IF(AND(W509="Yes",OR(Q509="No",Q509="")),X509,IF(AND(OR(W509="No",W509=""),Q509="Yes"),R509,0))))</f>
        <v>0</v>
      </c>
      <c r="AD509" s="69"/>
      <c r="AE509" s="69"/>
      <c r="AF509" t="str">
        <f>IF(AD509="Monthly",Table3[[#This Row],[Assessed Term]]*12,IF(AD509="quarterly",Table3[[#This Row],[Assessed Term]]*4,IF(AD509="annually",Table3[[#This Row],[Assessed Term]]*1,IF(AD509="weekly",Table3[[#This Row],[Assessed Term]]*52,IF(AD509="semiannually",Table3[[#This Row],[Assessed Term]]*2," ")))))</f>
        <v xml:space="preserve"> </v>
      </c>
      <c r="AG509" s="69"/>
      <c r="AH509" s="69"/>
      <c r="AI509" s="73"/>
      <c r="AJ509" s="73"/>
      <c r="AK509" s="73"/>
      <c r="AL509" s="69"/>
      <c r="AM509" s="69"/>
      <c r="AN509" s="120"/>
      <c r="AO509" s="76" t="b">
        <f>IF(K509 = "Lease",+PV(AN509/(AF509/Table3[[#This Row],[Assessed Term]]),AF509,-AI509,0,IF(AE509="Beginning",1,0)))</f>
        <v>0</v>
      </c>
      <c r="AP509" s="69"/>
      <c r="AQ509" s="76">
        <f t="shared" si="49"/>
        <v>0</v>
      </c>
      <c r="AR509" s="72"/>
    </row>
    <row r="510" spans="1:44">
      <c r="A510" s="69"/>
      <c r="B510" s="70"/>
      <c r="C510" s="69"/>
      <c r="D510" s="69"/>
      <c r="E510" s="69"/>
      <c r="F510" s="69"/>
      <c r="G510" s="69"/>
      <c r="H510" s="69"/>
      <c r="I510" s="69"/>
      <c r="J510" s="69"/>
      <c r="K510" t="str">
        <f t="shared" si="45"/>
        <v>Not a Lease</v>
      </c>
      <c r="L510" s="69"/>
      <c r="M510" s="69"/>
      <c r="N510" s="69"/>
      <c r="O510" s="69"/>
      <c r="P510" s="69"/>
      <c r="Q510" s="69"/>
      <c r="R510" s="69"/>
      <c r="S510" s="69"/>
      <c r="T510" s="69"/>
      <c r="U510" s="69"/>
      <c r="V510" s="69"/>
      <c r="W510" s="69"/>
      <c r="X510" s="69"/>
      <c r="Y510" s="69"/>
      <c r="Z510">
        <f t="shared" si="48"/>
        <v>0</v>
      </c>
      <c r="AA510">
        <f t="shared" si="46"/>
        <v>0</v>
      </c>
      <c r="AB510">
        <f t="shared" si="47"/>
        <v>0</v>
      </c>
      <c r="AC510">
        <f>+IF(Table3[[#This Row],[Do Both Parties have to agree for extension to occur?]]="Yes",0,IF(AND(W510="Yes",Q510="Yes"),IF(R510=X510,R510,MAX(R510,X510)),IF(AND(W510="Yes",OR(Q510="No",Q510="")),X510,IF(AND(OR(W510="No",W510=""),Q510="Yes"),R510,0))))</f>
        <v>0</v>
      </c>
      <c r="AD510" s="69"/>
      <c r="AE510" s="69"/>
      <c r="AF510" t="str">
        <f>IF(AD510="Monthly",Table3[[#This Row],[Assessed Term]]*12,IF(AD510="quarterly",Table3[[#This Row],[Assessed Term]]*4,IF(AD510="annually",Table3[[#This Row],[Assessed Term]]*1,IF(AD510="weekly",Table3[[#This Row],[Assessed Term]]*52,IF(AD510="semiannually",Table3[[#This Row],[Assessed Term]]*2," ")))))</f>
        <v xml:space="preserve"> </v>
      </c>
      <c r="AG510" s="69"/>
      <c r="AH510" s="69"/>
      <c r="AI510" s="73"/>
      <c r="AJ510" s="73"/>
      <c r="AK510" s="73"/>
      <c r="AL510" s="69"/>
      <c r="AM510" s="69"/>
      <c r="AN510" s="120"/>
      <c r="AO510" s="76" t="b">
        <f>IF(K510 = "Lease",+PV(AN510/(AF510/Table3[[#This Row],[Assessed Term]]),AF510,-AI510,0,IF(AE510="Beginning",1,0)))</f>
        <v>0</v>
      </c>
      <c r="AP510" s="69"/>
      <c r="AQ510" s="76">
        <f t="shared" si="49"/>
        <v>0</v>
      </c>
      <c r="AR510" s="72"/>
    </row>
    <row r="511" spans="1:44">
      <c r="A511" s="69"/>
      <c r="B511" s="70"/>
      <c r="C511" s="69"/>
      <c r="D511" s="69"/>
      <c r="E511" s="69"/>
      <c r="F511" s="69"/>
      <c r="G511" s="69"/>
      <c r="H511" s="69"/>
      <c r="I511" s="69"/>
      <c r="J511" s="69"/>
      <c r="K511" t="str">
        <f t="shared" si="45"/>
        <v>Not a Lease</v>
      </c>
      <c r="L511" s="69"/>
      <c r="M511" s="69"/>
      <c r="N511" s="69"/>
      <c r="O511" s="69"/>
      <c r="P511" s="69"/>
      <c r="Q511" s="69"/>
      <c r="R511" s="69"/>
      <c r="S511" s="69"/>
      <c r="T511" s="69"/>
      <c r="U511" s="69"/>
      <c r="V511" s="69"/>
      <c r="W511" s="69"/>
      <c r="X511" s="69"/>
      <c r="Y511" s="69"/>
      <c r="Z511">
        <f t="shared" si="48"/>
        <v>0</v>
      </c>
      <c r="AA511">
        <f t="shared" si="46"/>
        <v>0</v>
      </c>
      <c r="AB511">
        <f t="shared" si="47"/>
        <v>0</v>
      </c>
      <c r="AC511">
        <f>+IF(Table3[[#This Row],[Do Both Parties have to agree for extension to occur?]]="Yes",0,IF(AND(W511="Yes",Q511="Yes"),IF(R511=X511,R511,MAX(R511,X511)),IF(AND(W511="Yes",OR(Q511="No",Q511="")),X511,IF(AND(OR(W511="No",W511=""),Q511="Yes"),R511,0))))</f>
        <v>0</v>
      </c>
      <c r="AD511" s="69"/>
      <c r="AE511" s="69"/>
      <c r="AF511" t="str">
        <f>IF(AD511="Monthly",Table3[[#This Row],[Assessed Term]]*12,IF(AD511="quarterly",Table3[[#This Row],[Assessed Term]]*4,IF(AD511="annually",Table3[[#This Row],[Assessed Term]]*1,IF(AD511="weekly",Table3[[#This Row],[Assessed Term]]*52,IF(AD511="semiannually",Table3[[#This Row],[Assessed Term]]*2," ")))))</f>
        <v xml:space="preserve"> </v>
      </c>
      <c r="AG511" s="69"/>
      <c r="AH511" s="69"/>
      <c r="AI511" s="73"/>
      <c r="AJ511" s="73"/>
      <c r="AK511" s="73"/>
      <c r="AL511" s="69"/>
      <c r="AM511" s="69"/>
      <c r="AN511" s="120"/>
      <c r="AO511" s="76" t="b">
        <f>IF(K511 = "Lease",+PV(AN511/(AF511/Table3[[#This Row],[Assessed Term]]),AF511,-AI511,0,IF(AE511="Beginning",1,0)))</f>
        <v>0</v>
      </c>
      <c r="AP511" s="69"/>
      <c r="AQ511" s="76">
        <f t="shared" si="49"/>
        <v>0</v>
      </c>
      <c r="AR511" s="72"/>
    </row>
    <row r="512" spans="1:44">
      <c r="A512" s="69"/>
      <c r="B512" s="70"/>
      <c r="C512" s="69"/>
      <c r="D512" s="69"/>
      <c r="E512" s="69"/>
      <c r="F512" s="69"/>
      <c r="G512" s="69"/>
      <c r="H512" s="69"/>
      <c r="I512" s="69"/>
      <c r="J512" s="69"/>
      <c r="K512" t="str">
        <f t="shared" si="45"/>
        <v>Not a Lease</v>
      </c>
      <c r="L512" s="69"/>
      <c r="M512" s="69"/>
      <c r="N512" s="69"/>
      <c r="O512" s="69"/>
      <c r="P512" s="69"/>
      <c r="Q512" s="69"/>
      <c r="R512" s="69"/>
      <c r="S512" s="69"/>
      <c r="T512" s="69"/>
      <c r="U512" s="69"/>
      <c r="V512" s="69"/>
      <c r="W512" s="69"/>
      <c r="X512" s="69"/>
      <c r="Y512" s="69"/>
      <c r="Z512">
        <f t="shared" si="48"/>
        <v>0</v>
      </c>
      <c r="AA512">
        <f t="shared" si="46"/>
        <v>0</v>
      </c>
      <c r="AB512">
        <f t="shared" si="47"/>
        <v>0</v>
      </c>
      <c r="AC512">
        <f>+IF(Table3[[#This Row],[Do Both Parties have to agree for extension to occur?]]="Yes",0,IF(AND(W512="Yes",Q512="Yes"),IF(R512=X512,R512,MAX(R512,X512)),IF(AND(W512="Yes",OR(Q512="No",Q512="")),X512,IF(AND(OR(W512="No",W512=""),Q512="Yes"),R512,0))))</f>
        <v>0</v>
      </c>
      <c r="AD512" s="69"/>
      <c r="AE512" s="69"/>
      <c r="AF512" t="str">
        <f>IF(AD512="Monthly",Table3[[#This Row],[Assessed Term]]*12,IF(AD512="quarterly",Table3[[#This Row],[Assessed Term]]*4,IF(AD512="annually",Table3[[#This Row],[Assessed Term]]*1,IF(AD512="weekly",Table3[[#This Row],[Assessed Term]]*52,IF(AD512="semiannually",Table3[[#This Row],[Assessed Term]]*2," ")))))</f>
        <v xml:space="preserve"> </v>
      </c>
      <c r="AG512" s="69"/>
      <c r="AH512" s="69"/>
      <c r="AI512" s="73"/>
      <c r="AJ512" s="73"/>
      <c r="AK512" s="73"/>
      <c r="AL512" s="69"/>
      <c r="AM512" s="69"/>
      <c r="AN512" s="120"/>
      <c r="AO512" s="76" t="b">
        <f>IF(K512 = "Lease",+PV(AN512/(AF512/Table3[[#This Row],[Assessed Term]]),AF512,-AI512,0,IF(AE512="Beginning",1,0)))</f>
        <v>0</v>
      </c>
      <c r="AP512" s="69"/>
      <c r="AQ512" s="76">
        <f t="shared" si="49"/>
        <v>0</v>
      </c>
      <c r="AR512" s="72"/>
    </row>
    <row r="513" spans="1:44">
      <c r="A513" s="69"/>
      <c r="B513" s="70"/>
      <c r="C513" s="69"/>
      <c r="D513" s="69"/>
      <c r="E513" s="69"/>
      <c r="F513" s="69"/>
      <c r="G513" s="69"/>
      <c r="H513" s="69"/>
      <c r="I513" s="69"/>
      <c r="J513" s="69"/>
      <c r="K513" t="str">
        <f t="shared" si="45"/>
        <v>Not a Lease</v>
      </c>
      <c r="L513" s="69"/>
      <c r="M513" s="69"/>
      <c r="N513" s="69"/>
      <c r="O513" s="69"/>
      <c r="P513" s="69"/>
      <c r="Q513" s="69"/>
      <c r="R513" s="69"/>
      <c r="S513" s="69"/>
      <c r="T513" s="69"/>
      <c r="U513" s="69"/>
      <c r="V513" s="69"/>
      <c r="W513" s="69"/>
      <c r="X513" s="69"/>
      <c r="Y513" s="69"/>
      <c r="Z513">
        <f t="shared" si="48"/>
        <v>0</v>
      </c>
      <c r="AA513">
        <f t="shared" si="46"/>
        <v>0</v>
      </c>
      <c r="AB513">
        <f t="shared" si="47"/>
        <v>0</v>
      </c>
      <c r="AC513">
        <f>+IF(Table3[[#This Row],[Do Both Parties have to agree for extension to occur?]]="Yes",0,IF(AND(W513="Yes",Q513="Yes"),IF(R513=X513,R513,MAX(R513,X513)),IF(AND(W513="Yes",OR(Q513="No",Q513="")),X513,IF(AND(OR(W513="No",W513=""),Q513="Yes"),R513,0))))</f>
        <v>0</v>
      </c>
      <c r="AD513" s="69"/>
      <c r="AE513" s="69"/>
      <c r="AF513" t="str">
        <f>IF(AD513="Monthly",Table3[[#This Row],[Assessed Term]]*12,IF(AD513="quarterly",Table3[[#This Row],[Assessed Term]]*4,IF(AD513="annually",Table3[[#This Row],[Assessed Term]]*1,IF(AD513="weekly",Table3[[#This Row],[Assessed Term]]*52,IF(AD513="semiannually",Table3[[#This Row],[Assessed Term]]*2," ")))))</f>
        <v xml:space="preserve"> </v>
      </c>
      <c r="AG513" s="69"/>
      <c r="AH513" s="69"/>
      <c r="AI513" s="73"/>
      <c r="AJ513" s="73"/>
      <c r="AK513" s="73"/>
      <c r="AL513" s="69"/>
      <c r="AM513" s="69"/>
      <c r="AN513" s="120"/>
      <c r="AO513" s="76" t="b">
        <f>IF(K513 = "Lease",+PV(AN513/(AF513/Table3[[#This Row],[Assessed Term]]),AF513,-AI513,0,IF(AE513="Beginning",1,0)))</f>
        <v>0</v>
      </c>
      <c r="AP513" s="69"/>
      <c r="AQ513" s="76">
        <f t="shared" si="49"/>
        <v>0</v>
      </c>
      <c r="AR513" s="72"/>
    </row>
    <row r="514" spans="1:44">
      <c r="A514" s="69"/>
      <c r="B514" s="70"/>
      <c r="C514" s="69"/>
      <c r="D514" s="69"/>
      <c r="E514" s="69"/>
      <c r="F514" s="69"/>
      <c r="G514" s="69"/>
      <c r="H514" s="69"/>
      <c r="I514" s="69"/>
      <c r="J514" s="69"/>
      <c r="K514" t="str">
        <f t="shared" si="45"/>
        <v>Not a Lease</v>
      </c>
      <c r="L514" s="69"/>
      <c r="M514" s="69"/>
      <c r="N514" s="69"/>
      <c r="O514" s="69"/>
      <c r="P514" s="69"/>
      <c r="Q514" s="69"/>
      <c r="R514" s="69"/>
      <c r="S514" s="69"/>
      <c r="T514" s="69"/>
      <c r="U514" s="69"/>
      <c r="V514" s="69"/>
      <c r="W514" s="69"/>
      <c r="X514" s="69"/>
      <c r="Y514" s="69"/>
      <c r="Z514">
        <f t="shared" si="48"/>
        <v>0</v>
      </c>
      <c r="AA514">
        <f t="shared" si="46"/>
        <v>0</v>
      </c>
      <c r="AB514">
        <f t="shared" si="47"/>
        <v>0</v>
      </c>
      <c r="AC514">
        <f>+IF(Table3[[#This Row],[Do Both Parties have to agree for extension to occur?]]="Yes",0,IF(AND(W514="Yes",Q514="Yes"),IF(R514=X514,R514,MAX(R514,X514)),IF(AND(W514="Yes",OR(Q514="No",Q514="")),X514,IF(AND(OR(W514="No",W514=""),Q514="Yes"),R514,0))))</f>
        <v>0</v>
      </c>
      <c r="AD514" s="69"/>
      <c r="AE514" s="69"/>
      <c r="AF514" t="str">
        <f>IF(AD514="Monthly",Table3[[#This Row],[Assessed Term]]*12,IF(AD514="quarterly",Table3[[#This Row],[Assessed Term]]*4,IF(AD514="annually",Table3[[#This Row],[Assessed Term]]*1,IF(AD514="weekly",Table3[[#This Row],[Assessed Term]]*52,IF(AD514="semiannually",Table3[[#This Row],[Assessed Term]]*2," ")))))</f>
        <v xml:space="preserve"> </v>
      </c>
      <c r="AG514" s="69"/>
      <c r="AH514" s="69"/>
      <c r="AI514" s="73"/>
      <c r="AJ514" s="73"/>
      <c r="AK514" s="73"/>
      <c r="AL514" s="69"/>
      <c r="AM514" s="69"/>
      <c r="AN514" s="120"/>
      <c r="AO514" s="76" t="b">
        <f>IF(K514 = "Lease",+PV(AN514/(AF514/Table3[[#This Row],[Assessed Term]]),AF514,-AI514,0,IF(AE514="Beginning",1,0)))</f>
        <v>0</v>
      </c>
      <c r="AP514" s="69"/>
      <c r="AQ514" s="76">
        <f t="shared" si="49"/>
        <v>0</v>
      </c>
      <c r="AR514" s="72"/>
    </row>
    <row r="515" spans="1:44">
      <c r="A515" s="69"/>
      <c r="B515" s="70"/>
      <c r="C515" s="69"/>
      <c r="D515" s="69"/>
      <c r="E515" s="69"/>
      <c r="F515" s="69"/>
      <c r="G515" s="69"/>
      <c r="H515" s="69"/>
      <c r="I515" s="69"/>
      <c r="J515" s="69"/>
      <c r="K515" t="str">
        <f t="shared" si="45"/>
        <v>Not a Lease</v>
      </c>
      <c r="L515" s="69"/>
      <c r="M515" s="69"/>
      <c r="N515" s="69"/>
      <c r="O515" s="69"/>
      <c r="P515" s="69"/>
      <c r="Q515" s="69"/>
      <c r="R515" s="69"/>
      <c r="S515" s="69"/>
      <c r="T515" s="69"/>
      <c r="U515" s="69"/>
      <c r="V515" s="69"/>
      <c r="W515" s="69"/>
      <c r="X515" s="69"/>
      <c r="Y515" s="69"/>
      <c r="Z515">
        <f t="shared" si="48"/>
        <v>0</v>
      </c>
      <c r="AA515">
        <f t="shared" si="46"/>
        <v>0</v>
      </c>
      <c r="AB515">
        <f t="shared" si="47"/>
        <v>0</v>
      </c>
      <c r="AC515">
        <f>+IF(Table3[[#This Row],[Do Both Parties have to agree for extension to occur?]]="Yes",0,IF(AND(W515="Yes",Q515="Yes"),IF(R515=X515,R515,MAX(R515,X515)),IF(AND(W515="Yes",OR(Q515="No",Q515="")),X515,IF(AND(OR(W515="No",W515=""),Q515="Yes"),R515,0))))</f>
        <v>0</v>
      </c>
      <c r="AD515" s="69"/>
      <c r="AE515" s="69"/>
      <c r="AF515" t="str">
        <f>IF(AD515="Monthly",Table3[[#This Row],[Assessed Term]]*12,IF(AD515="quarterly",Table3[[#This Row],[Assessed Term]]*4,IF(AD515="annually",Table3[[#This Row],[Assessed Term]]*1,IF(AD515="weekly",Table3[[#This Row],[Assessed Term]]*52,IF(AD515="semiannually",Table3[[#This Row],[Assessed Term]]*2," ")))))</f>
        <v xml:space="preserve"> </v>
      </c>
      <c r="AG515" s="69"/>
      <c r="AH515" s="69"/>
      <c r="AI515" s="73"/>
      <c r="AJ515" s="73"/>
      <c r="AK515" s="73"/>
      <c r="AL515" s="69"/>
      <c r="AM515" s="69"/>
      <c r="AN515" s="120"/>
      <c r="AO515" s="76" t="b">
        <f>IF(K515 = "Lease",+PV(AN515/(AF515/Table3[[#This Row],[Assessed Term]]),AF515,-AI515,0,IF(AE515="Beginning",1,0)))</f>
        <v>0</v>
      </c>
      <c r="AP515" s="69"/>
      <c r="AQ515" s="76">
        <f t="shared" si="49"/>
        <v>0</v>
      </c>
      <c r="AR515" s="72"/>
    </row>
    <row r="516" spans="1:44">
      <c r="A516" s="69"/>
      <c r="B516" s="70"/>
      <c r="C516" s="69"/>
      <c r="D516" s="69"/>
      <c r="E516" s="69"/>
      <c r="F516" s="69"/>
      <c r="G516" s="69"/>
      <c r="H516" s="69"/>
      <c r="I516" s="69"/>
      <c r="J516" s="69"/>
      <c r="K516" t="str">
        <f t="shared" ref="K516:K550" si="50">+IF(AND(F516="yes",G516="yes", H516="no",E516&lt;&gt;"Intangible Asset",E516&lt;&gt;"Service",I516 ="yes", E516&lt;&gt;"Investment", E516&lt;&gt;"Inventory",J516&lt;&gt;"Yes",E516&lt;&gt;""),"Lease","Not a Lease")</f>
        <v>Not a Lease</v>
      </c>
      <c r="L516" s="69"/>
      <c r="M516" s="69"/>
      <c r="N516" s="69"/>
      <c r="O516" s="69"/>
      <c r="P516" s="69"/>
      <c r="Q516" s="69"/>
      <c r="R516" s="69"/>
      <c r="S516" s="69"/>
      <c r="T516" s="69"/>
      <c r="U516" s="69"/>
      <c r="V516" s="69"/>
      <c r="W516" s="69"/>
      <c r="X516" s="69"/>
      <c r="Y516" s="69"/>
      <c r="Z516">
        <f t="shared" si="48"/>
        <v>0</v>
      </c>
      <c r="AA516">
        <f t="shared" ref="AA516:AA550" si="51">+IF(AND(S516="Yes",M516="Yes"),IF(OR(O516=U516,O516&lt;U516),U516,O516),L516)</f>
        <v>0</v>
      </c>
      <c r="AB516">
        <f t="shared" ref="AB516:AB550" si="52">+IF(M516=S516,MAX(O516,U516),(IF(OR(T516="yes",N516="Yes"),MIN(O516,U516),IF(AND(T516="Yes",N516="No"),U516,IF(AND(T516="No",N516="Yes"),O516,0)))))</f>
        <v>0</v>
      </c>
      <c r="AC516">
        <f>+IF(Table3[[#This Row],[Do Both Parties have to agree for extension to occur?]]="Yes",0,IF(AND(W516="Yes",Q516="Yes"),IF(R516=X516,R516,MAX(R516,X516)),IF(AND(W516="Yes",OR(Q516="No",Q516="")),X516,IF(AND(OR(W516="No",W516=""),Q516="Yes"),R516,0))))</f>
        <v>0</v>
      </c>
      <c r="AD516" s="69"/>
      <c r="AE516" s="69"/>
      <c r="AF516" t="str">
        <f>IF(AD516="Monthly",Table3[[#This Row],[Assessed Term]]*12,IF(AD516="quarterly",Table3[[#This Row],[Assessed Term]]*4,IF(AD516="annually",Table3[[#This Row],[Assessed Term]]*1,IF(AD516="weekly",Table3[[#This Row],[Assessed Term]]*52,IF(AD516="semiannually",Table3[[#This Row],[Assessed Term]]*2," ")))))</f>
        <v xml:space="preserve"> </v>
      </c>
      <c r="AG516" s="69"/>
      <c r="AH516" s="69"/>
      <c r="AI516" s="73"/>
      <c r="AJ516" s="73"/>
      <c r="AK516" s="73"/>
      <c r="AL516" s="69"/>
      <c r="AM516" s="69"/>
      <c r="AN516" s="120"/>
      <c r="AO516" s="76" t="b">
        <f>IF(K516 = "Lease",+PV(AN516/(AF516/Table3[[#This Row],[Assessed Term]]),AF516,-AI516,0,IF(AE516="Beginning",1,0)))</f>
        <v>0</v>
      </c>
      <c r="AP516" s="69"/>
      <c r="AQ516" s="76">
        <f t="shared" si="49"/>
        <v>0</v>
      </c>
      <c r="AR516" s="72"/>
    </row>
    <row r="517" spans="1:44">
      <c r="A517" s="69"/>
      <c r="B517" s="70"/>
      <c r="C517" s="69"/>
      <c r="D517" s="69"/>
      <c r="E517" s="69"/>
      <c r="F517" s="69"/>
      <c r="G517" s="69"/>
      <c r="H517" s="69"/>
      <c r="I517" s="69"/>
      <c r="J517" s="69"/>
      <c r="K517" t="str">
        <f t="shared" si="50"/>
        <v>Not a Lease</v>
      </c>
      <c r="L517" s="69"/>
      <c r="M517" s="69"/>
      <c r="N517" s="69"/>
      <c r="O517" s="69"/>
      <c r="P517" s="69"/>
      <c r="Q517" s="69"/>
      <c r="R517" s="69"/>
      <c r="S517" s="69"/>
      <c r="T517" s="69"/>
      <c r="U517" s="69"/>
      <c r="V517" s="69"/>
      <c r="W517" s="69"/>
      <c r="X517" s="69"/>
      <c r="Y517" s="69"/>
      <c r="Z517">
        <f t="shared" si="48"/>
        <v>0</v>
      </c>
      <c r="AA517">
        <f t="shared" si="51"/>
        <v>0</v>
      </c>
      <c r="AB517">
        <f t="shared" si="52"/>
        <v>0</v>
      </c>
      <c r="AC517">
        <f>+IF(Table3[[#This Row],[Do Both Parties have to agree for extension to occur?]]="Yes",0,IF(AND(W517="Yes",Q517="Yes"),IF(R517=X517,R517,MAX(R517,X517)),IF(AND(W517="Yes",OR(Q517="No",Q517="")),X517,IF(AND(OR(W517="No",W517=""),Q517="Yes"),R517,0))))</f>
        <v>0</v>
      </c>
      <c r="AD517" s="69"/>
      <c r="AE517" s="69"/>
      <c r="AF517" t="str">
        <f>IF(AD517="Monthly",Table3[[#This Row],[Assessed Term]]*12,IF(AD517="quarterly",Table3[[#This Row],[Assessed Term]]*4,IF(AD517="annually",Table3[[#This Row],[Assessed Term]]*1,IF(AD517="weekly",Table3[[#This Row],[Assessed Term]]*52,IF(AD517="semiannually",Table3[[#This Row],[Assessed Term]]*2," ")))))</f>
        <v xml:space="preserve"> </v>
      </c>
      <c r="AG517" s="69"/>
      <c r="AH517" s="69"/>
      <c r="AI517" s="73"/>
      <c r="AJ517" s="73"/>
      <c r="AK517" s="73"/>
      <c r="AL517" s="69"/>
      <c r="AM517" s="69"/>
      <c r="AN517" s="120"/>
      <c r="AO517" s="76" t="b">
        <f>IF(K517 = "Lease",+PV(AN517/(AF517/Table3[[#This Row],[Assessed Term]]),AF517,-AI517,0,IF(AE517="Beginning",1,0)))</f>
        <v>0</v>
      </c>
      <c r="AP517" s="69"/>
      <c r="AQ517" s="76">
        <f t="shared" si="49"/>
        <v>0</v>
      </c>
      <c r="AR517" s="72"/>
    </row>
    <row r="518" spans="1:44">
      <c r="A518" s="69"/>
      <c r="B518" s="70"/>
      <c r="C518" s="69"/>
      <c r="D518" s="69"/>
      <c r="E518" s="69"/>
      <c r="F518" s="69"/>
      <c r="G518" s="69"/>
      <c r="H518" s="69"/>
      <c r="I518" s="69"/>
      <c r="J518" s="69"/>
      <c r="K518" t="str">
        <f t="shared" si="50"/>
        <v>Not a Lease</v>
      </c>
      <c r="L518" s="69"/>
      <c r="M518" s="69"/>
      <c r="N518" s="69"/>
      <c r="O518" s="69"/>
      <c r="P518" s="69"/>
      <c r="Q518" s="69"/>
      <c r="R518" s="69"/>
      <c r="S518" s="69"/>
      <c r="T518" s="69"/>
      <c r="U518" s="69"/>
      <c r="V518" s="69"/>
      <c r="W518" s="69"/>
      <c r="X518" s="69"/>
      <c r="Y518" s="69"/>
      <c r="Z518">
        <f t="shared" si="48"/>
        <v>0</v>
      </c>
      <c r="AA518">
        <f t="shared" si="51"/>
        <v>0</v>
      </c>
      <c r="AB518">
        <f t="shared" si="52"/>
        <v>0</v>
      </c>
      <c r="AC518">
        <f>+IF(Table3[[#This Row],[Do Both Parties have to agree for extension to occur?]]="Yes",0,IF(AND(W518="Yes",Q518="Yes"),IF(R518=X518,R518,MAX(R518,X518)),IF(AND(W518="Yes",OR(Q518="No",Q518="")),X518,IF(AND(OR(W518="No",W518=""),Q518="Yes"),R518,0))))</f>
        <v>0</v>
      </c>
      <c r="AD518" s="69"/>
      <c r="AE518" s="69"/>
      <c r="AF518" t="str">
        <f>IF(AD518="Monthly",Table3[[#This Row],[Assessed Term]]*12,IF(AD518="quarterly",Table3[[#This Row],[Assessed Term]]*4,IF(AD518="annually",Table3[[#This Row],[Assessed Term]]*1,IF(AD518="weekly",Table3[[#This Row],[Assessed Term]]*52,IF(AD518="semiannually",Table3[[#This Row],[Assessed Term]]*2," ")))))</f>
        <v xml:space="preserve"> </v>
      </c>
      <c r="AG518" s="69"/>
      <c r="AH518" s="69"/>
      <c r="AI518" s="73"/>
      <c r="AJ518" s="73"/>
      <c r="AK518" s="73"/>
      <c r="AL518" s="69"/>
      <c r="AM518" s="69"/>
      <c r="AN518" s="120"/>
      <c r="AO518" s="76" t="b">
        <f>IF(K518 = "Lease",+PV(AN518/(AF518/Table3[[#This Row],[Assessed Term]]),AF518,-AI518,0,IF(AE518="Beginning",1,0)))</f>
        <v>0</v>
      </c>
      <c r="AP518" s="69"/>
      <c r="AQ518" s="76">
        <f t="shared" si="49"/>
        <v>0</v>
      </c>
      <c r="AR518" s="72"/>
    </row>
    <row r="519" spans="1:44">
      <c r="A519" s="69"/>
      <c r="B519" s="70"/>
      <c r="C519" s="69"/>
      <c r="D519" s="69"/>
      <c r="E519" s="69"/>
      <c r="F519" s="69"/>
      <c r="G519" s="69"/>
      <c r="H519" s="69"/>
      <c r="I519" s="69"/>
      <c r="J519" s="69"/>
      <c r="K519" t="str">
        <f t="shared" si="50"/>
        <v>Not a Lease</v>
      </c>
      <c r="L519" s="69"/>
      <c r="M519" s="69"/>
      <c r="N519" s="69"/>
      <c r="O519" s="69"/>
      <c r="P519" s="69"/>
      <c r="Q519" s="69"/>
      <c r="R519" s="69"/>
      <c r="S519" s="69"/>
      <c r="T519" s="69"/>
      <c r="U519" s="69"/>
      <c r="V519" s="69"/>
      <c r="W519" s="69"/>
      <c r="X519" s="69"/>
      <c r="Y519" s="69"/>
      <c r="Z519">
        <f t="shared" si="48"/>
        <v>0</v>
      </c>
      <c r="AA519">
        <f t="shared" si="51"/>
        <v>0</v>
      </c>
      <c r="AB519">
        <f t="shared" si="52"/>
        <v>0</v>
      </c>
      <c r="AC519">
        <f>+IF(Table3[[#This Row],[Do Both Parties have to agree for extension to occur?]]="Yes",0,IF(AND(W519="Yes",Q519="Yes"),IF(R519=X519,R519,MAX(R519,X519)),IF(AND(W519="Yes",OR(Q519="No",Q519="")),X519,IF(AND(OR(W519="No",W519=""),Q519="Yes"),R519,0))))</f>
        <v>0</v>
      </c>
      <c r="AD519" s="69"/>
      <c r="AE519" s="69"/>
      <c r="AF519" t="str">
        <f>IF(AD519="Monthly",Table3[[#This Row],[Assessed Term]]*12,IF(AD519="quarterly",Table3[[#This Row],[Assessed Term]]*4,IF(AD519="annually",Table3[[#This Row],[Assessed Term]]*1,IF(AD519="weekly",Table3[[#This Row],[Assessed Term]]*52,IF(AD519="semiannually",Table3[[#This Row],[Assessed Term]]*2," ")))))</f>
        <v xml:space="preserve"> </v>
      </c>
      <c r="AG519" s="69"/>
      <c r="AH519" s="69"/>
      <c r="AI519" s="73"/>
      <c r="AJ519" s="73"/>
      <c r="AK519" s="73"/>
      <c r="AL519" s="69"/>
      <c r="AM519" s="69"/>
      <c r="AN519" s="120"/>
      <c r="AO519" s="76" t="b">
        <f>IF(K519 = "Lease",+PV(AN519/(AF519/Table3[[#This Row],[Assessed Term]]),AF519,-AI519,0,IF(AE519="Beginning",1,0)))</f>
        <v>0</v>
      </c>
      <c r="AP519" s="69"/>
      <c r="AQ519" s="76">
        <f t="shared" si="49"/>
        <v>0</v>
      </c>
      <c r="AR519" s="72"/>
    </row>
    <row r="520" spans="1:44">
      <c r="A520" s="69"/>
      <c r="B520" s="70"/>
      <c r="C520" s="69"/>
      <c r="D520" s="69"/>
      <c r="E520" s="69"/>
      <c r="F520" s="69"/>
      <c r="G520" s="69"/>
      <c r="H520" s="69"/>
      <c r="I520" s="69"/>
      <c r="J520" s="69"/>
      <c r="K520" t="str">
        <f t="shared" si="50"/>
        <v>Not a Lease</v>
      </c>
      <c r="L520" s="69"/>
      <c r="M520" s="69"/>
      <c r="N520" s="69"/>
      <c r="O520" s="69"/>
      <c r="P520" s="69"/>
      <c r="Q520" s="69"/>
      <c r="R520" s="69"/>
      <c r="S520" s="69"/>
      <c r="T520" s="69"/>
      <c r="U520" s="69"/>
      <c r="V520" s="69"/>
      <c r="W520" s="69"/>
      <c r="X520" s="69"/>
      <c r="Y520" s="69"/>
      <c r="Z520">
        <f t="shared" si="48"/>
        <v>0</v>
      </c>
      <c r="AA520">
        <f t="shared" si="51"/>
        <v>0</v>
      </c>
      <c r="AB520">
        <f t="shared" si="52"/>
        <v>0</v>
      </c>
      <c r="AC520">
        <f>+IF(Table3[[#This Row],[Do Both Parties have to agree for extension to occur?]]="Yes",0,IF(AND(W520="Yes",Q520="Yes"),IF(R520=X520,R520,MAX(R520,X520)),IF(AND(W520="Yes",OR(Q520="No",Q520="")),X520,IF(AND(OR(W520="No",W520=""),Q520="Yes"),R520,0))))</f>
        <v>0</v>
      </c>
      <c r="AD520" s="69"/>
      <c r="AE520" s="69"/>
      <c r="AF520" t="str">
        <f>IF(AD520="Monthly",Table3[[#This Row],[Assessed Term]]*12,IF(AD520="quarterly",Table3[[#This Row],[Assessed Term]]*4,IF(AD520="annually",Table3[[#This Row],[Assessed Term]]*1,IF(AD520="weekly",Table3[[#This Row],[Assessed Term]]*52,IF(AD520="semiannually",Table3[[#This Row],[Assessed Term]]*2," ")))))</f>
        <v xml:space="preserve"> </v>
      </c>
      <c r="AG520" s="69"/>
      <c r="AH520" s="69"/>
      <c r="AI520" s="73"/>
      <c r="AJ520" s="73"/>
      <c r="AK520" s="73"/>
      <c r="AL520" s="69"/>
      <c r="AM520" s="69"/>
      <c r="AN520" s="120"/>
      <c r="AO520" s="76" t="b">
        <f>IF(K520 = "Lease",+PV(AN520/(AF520/Table3[[#This Row],[Assessed Term]]),AF520,-AI520,0,IF(AE520="Beginning",1,0)))</f>
        <v>0</v>
      </c>
      <c r="AP520" s="69"/>
      <c r="AQ520" s="76">
        <f t="shared" si="49"/>
        <v>0</v>
      </c>
      <c r="AR520" s="72"/>
    </row>
    <row r="521" spans="1:44">
      <c r="A521" s="69"/>
      <c r="B521" s="70"/>
      <c r="C521" s="69"/>
      <c r="D521" s="69"/>
      <c r="E521" s="69"/>
      <c r="F521" s="69"/>
      <c r="G521" s="69"/>
      <c r="H521" s="69"/>
      <c r="I521" s="69"/>
      <c r="J521" s="69"/>
      <c r="K521" t="str">
        <f t="shared" si="50"/>
        <v>Not a Lease</v>
      </c>
      <c r="L521" s="69"/>
      <c r="M521" s="69"/>
      <c r="N521" s="69"/>
      <c r="O521" s="69"/>
      <c r="P521" s="69"/>
      <c r="Q521" s="69"/>
      <c r="R521" s="69"/>
      <c r="S521" s="69"/>
      <c r="T521" s="69"/>
      <c r="U521" s="69"/>
      <c r="V521" s="69"/>
      <c r="W521" s="69"/>
      <c r="X521" s="69"/>
      <c r="Y521" s="69"/>
      <c r="Z521">
        <f t="shared" si="48"/>
        <v>0</v>
      </c>
      <c r="AA521">
        <f t="shared" si="51"/>
        <v>0</v>
      </c>
      <c r="AB521">
        <f t="shared" si="52"/>
        <v>0</v>
      </c>
      <c r="AC521">
        <f>+IF(Table3[[#This Row],[Do Both Parties have to agree for extension to occur?]]="Yes",0,IF(AND(W521="Yes",Q521="Yes"),IF(R521=X521,R521,MAX(R521,X521)),IF(AND(W521="Yes",OR(Q521="No",Q521="")),X521,IF(AND(OR(W521="No",W521=""),Q521="Yes"),R521,0))))</f>
        <v>0</v>
      </c>
      <c r="AD521" s="69"/>
      <c r="AE521" s="69"/>
      <c r="AF521" t="str">
        <f>IF(AD521="Monthly",Table3[[#This Row],[Assessed Term]]*12,IF(AD521="quarterly",Table3[[#This Row],[Assessed Term]]*4,IF(AD521="annually",Table3[[#This Row],[Assessed Term]]*1,IF(AD521="weekly",Table3[[#This Row],[Assessed Term]]*52,IF(AD521="semiannually",Table3[[#This Row],[Assessed Term]]*2," ")))))</f>
        <v xml:space="preserve"> </v>
      </c>
      <c r="AG521" s="69"/>
      <c r="AH521" s="69"/>
      <c r="AI521" s="73"/>
      <c r="AJ521" s="73"/>
      <c r="AK521" s="73"/>
      <c r="AL521" s="69"/>
      <c r="AM521" s="69"/>
      <c r="AN521" s="120"/>
      <c r="AO521" s="76" t="b">
        <f>IF(K521 = "Lease",+PV(AN521/(AF521/Table3[[#This Row],[Assessed Term]]),AF521,-AI521,0,IF(AE521="Beginning",1,0)))</f>
        <v>0</v>
      </c>
      <c r="AP521" s="69"/>
      <c r="AQ521" s="76">
        <f t="shared" si="49"/>
        <v>0</v>
      </c>
      <c r="AR521" s="72"/>
    </row>
    <row r="522" spans="1:44">
      <c r="A522" s="69"/>
      <c r="B522" s="70"/>
      <c r="C522" s="69"/>
      <c r="D522" s="69"/>
      <c r="E522" s="69"/>
      <c r="F522" s="69"/>
      <c r="G522" s="69"/>
      <c r="H522" s="69"/>
      <c r="I522" s="69"/>
      <c r="J522" s="69"/>
      <c r="K522" t="str">
        <f t="shared" si="50"/>
        <v>Not a Lease</v>
      </c>
      <c r="L522" s="69"/>
      <c r="M522" s="69"/>
      <c r="N522" s="69"/>
      <c r="O522" s="69"/>
      <c r="P522" s="69"/>
      <c r="Q522" s="69"/>
      <c r="R522" s="69"/>
      <c r="S522" s="69"/>
      <c r="T522" s="69"/>
      <c r="U522" s="69"/>
      <c r="V522" s="69"/>
      <c r="W522" s="69"/>
      <c r="X522" s="69"/>
      <c r="Y522" s="69"/>
      <c r="Z522">
        <f t="shared" si="48"/>
        <v>0</v>
      </c>
      <c r="AA522">
        <f t="shared" si="51"/>
        <v>0</v>
      </c>
      <c r="AB522">
        <f t="shared" si="52"/>
        <v>0</v>
      </c>
      <c r="AC522">
        <f>+IF(Table3[[#This Row],[Do Both Parties have to agree for extension to occur?]]="Yes",0,IF(AND(W522="Yes",Q522="Yes"),IF(R522=X522,R522,MAX(R522,X522)),IF(AND(W522="Yes",OR(Q522="No",Q522="")),X522,IF(AND(OR(W522="No",W522=""),Q522="Yes"),R522,0))))</f>
        <v>0</v>
      </c>
      <c r="AD522" s="69"/>
      <c r="AE522" s="69"/>
      <c r="AF522" t="str">
        <f>IF(AD522="Monthly",Table3[[#This Row],[Assessed Term]]*12,IF(AD522="quarterly",Table3[[#This Row],[Assessed Term]]*4,IF(AD522="annually",Table3[[#This Row],[Assessed Term]]*1,IF(AD522="weekly",Table3[[#This Row],[Assessed Term]]*52,IF(AD522="semiannually",Table3[[#This Row],[Assessed Term]]*2," ")))))</f>
        <v xml:space="preserve"> </v>
      </c>
      <c r="AG522" s="69"/>
      <c r="AH522" s="69"/>
      <c r="AI522" s="73"/>
      <c r="AJ522" s="73"/>
      <c r="AK522" s="73"/>
      <c r="AL522" s="69"/>
      <c r="AM522" s="69"/>
      <c r="AN522" s="120"/>
      <c r="AO522" s="76" t="b">
        <f>IF(K522 = "Lease",+PV(AN522/(AF522/Table3[[#This Row],[Assessed Term]]),AF522,-AI522,0,IF(AE522="Beginning",1,0)))</f>
        <v>0</v>
      </c>
      <c r="AP522" s="69"/>
      <c r="AQ522" s="76">
        <f t="shared" si="49"/>
        <v>0</v>
      </c>
      <c r="AR522" s="72"/>
    </row>
    <row r="523" spans="1:44">
      <c r="A523" s="69"/>
      <c r="B523" s="70"/>
      <c r="C523" s="69"/>
      <c r="D523" s="69"/>
      <c r="E523" s="69"/>
      <c r="F523" s="69"/>
      <c r="G523" s="69"/>
      <c r="H523" s="69"/>
      <c r="I523" s="69"/>
      <c r="J523" s="69"/>
      <c r="K523" t="str">
        <f t="shared" si="50"/>
        <v>Not a Lease</v>
      </c>
      <c r="L523" s="69"/>
      <c r="M523" s="69"/>
      <c r="N523" s="69"/>
      <c r="O523" s="69"/>
      <c r="P523" s="69"/>
      <c r="Q523" s="69"/>
      <c r="R523" s="69"/>
      <c r="S523" s="69"/>
      <c r="T523" s="69"/>
      <c r="U523" s="69"/>
      <c r="V523" s="69"/>
      <c r="W523" s="69"/>
      <c r="X523" s="69"/>
      <c r="Y523" s="69"/>
      <c r="Z523">
        <f t="shared" si="48"/>
        <v>0</v>
      </c>
      <c r="AA523">
        <f t="shared" si="51"/>
        <v>0</v>
      </c>
      <c r="AB523">
        <f t="shared" si="52"/>
        <v>0</v>
      </c>
      <c r="AC523">
        <f>+IF(Table3[[#This Row],[Do Both Parties have to agree for extension to occur?]]="Yes",0,IF(AND(W523="Yes",Q523="Yes"),IF(R523=X523,R523,MAX(R523,X523)),IF(AND(W523="Yes",OR(Q523="No",Q523="")),X523,IF(AND(OR(W523="No",W523=""),Q523="Yes"),R523,0))))</f>
        <v>0</v>
      </c>
      <c r="AD523" s="69"/>
      <c r="AE523" s="69"/>
      <c r="AF523" t="str">
        <f>IF(AD523="Monthly",Table3[[#This Row],[Assessed Term]]*12,IF(AD523="quarterly",Table3[[#This Row],[Assessed Term]]*4,IF(AD523="annually",Table3[[#This Row],[Assessed Term]]*1,IF(AD523="weekly",Table3[[#This Row],[Assessed Term]]*52,IF(AD523="semiannually",Table3[[#This Row],[Assessed Term]]*2," ")))))</f>
        <v xml:space="preserve"> </v>
      </c>
      <c r="AG523" s="69"/>
      <c r="AH523" s="69"/>
      <c r="AI523" s="73"/>
      <c r="AJ523" s="73"/>
      <c r="AK523" s="73"/>
      <c r="AL523" s="69"/>
      <c r="AM523" s="69"/>
      <c r="AN523" s="120"/>
      <c r="AO523" s="76" t="b">
        <f>IF(K523 = "Lease",+PV(AN523/(AF523/Table3[[#This Row],[Assessed Term]]),AF523,-AI523,0,IF(AE523="Beginning",1,0)))</f>
        <v>0</v>
      </c>
      <c r="AP523" s="69"/>
      <c r="AQ523" s="76">
        <f t="shared" si="49"/>
        <v>0</v>
      </c>
      <c r="AR523" s="72"/>
    </row>
    <row r="524" spans="1:44">
      <c r="A524" s="69"/>
      <c r="B524" s="70"/>
      <c r="C524" s="69"/>
      <c r="D524" s="69"/>
      <c r="E524" s="69"/>
      <c r="F524" s="69"/>
      <c r="G524" s="69"/>
      <c r="H524" s="69"/>
      <c r="I524" s="69"/>
      <c r="J524" s="69"/>
      <c r="K524" t="str">
        <f t="shared" si="50"/>
        <v>Not a Lease</v>
      </c>
      <c r="L524" s="69"/>
      <c r="M524" s="69"/>
      <c r="N524" s="69"/>
      <c r="O524" s="69"/>
      <c r="P524" s="69"/>
      <c r="Q524" s="69"/>
      <c r="R524" s="69"/>
      <c r="S524" s="69"/>
      <c r="T524" s="69"/>
      <c r="U524" s="69"/>
      <c r="V524" s="69"/>
      <c r="W524" s="69"/>
      <c r="X524" s="69"/>
      <c r="Y524" s="69"/>
      <c r="Z524">
        <f t="shared" si="48"/>
        <v>0</v>
      </c>
      <c r="AA524">
        <f t="shared" si="51"/>
        <v>0</v>
      </c>
      <c r="AB524">
        <f t="shared" si="52"/>
        <v>0</v>
      </c>
      <c r="AC524">
        <f>+IF(Table3[[#This Row],[Do Both Parties have to agree for extension to occur?]]="Yes",0,IF(AND(W524="Yes",Q524="Yes"),IF(R524=X524,R524,MAX(R524,X524)),IF(AND(W524="Yes",OR(Q524="No",Q524="")),X524,IF(AND(OR(W524="No",W524=""),Q524="Yes"),R524,0))))</f>
        <v>0</v>
      </c>
      <c r="AD524" s="69"/>
      <c r="AE524" s="69"/>
      <c r="AF524" t="str">
        <f>IF(AD524="Monthly",Table3[[#This Row],[Assessed Term]]*12,IF(AD524="quarterly",Table3[[#This Row],[Assessed Term]]*4,IF(AD524="annually",Table3[[#This Row],[Assessed Term]]*1,IF(AD524="weekly",Table3[[#This Row],[Assessed Term]]*52,IF(AD524="semiannually",Table3[[#This Row],[Assessed Term]]*2," ")))))</f>
        <v xml:space="preserve"> </v>
      </c>
      <c r="AG524" s="69"/>
      <c r="AH524" s="69"/>
      <c r="AI524" s="73"/>
      <c r="AJ524" s="73"/>
      <c r="AK524" s="73"/>
      <c r="AL524" s="69"/>
      <c r="AM524" s="69"/>
      <c r="AN524" s="120"/>
      <c r="AO524" s="76" t="b">
        <f>IF(K524 = "Lease",+PV(AN524/(AF524/Table3[[#This Row],[Assessed Term]]),AF524,-AI524,0,IF(AE524="Beginning",1,0)))</f>
        <v>0</v>
      </c>
      <c r="AP524" s="69"/>
      <c r="AQ524" s="76">
        <f t="shared" si="49"/>
        <v>0</v>
      </c>
      <c r="AR524" s="72"/>
    </row>
    <row r="525" spans="1:44">
      <c r="A525" s="69"/>
      <c r="B525" s="70"/>
      <c r="C525" s="69"/>
      <c r="D525" s="69"/>
      <c r="E525" s="69"/>
      <c r="F525" s="69"/>
      <c r="G525" s="69"/>
      <c r="H525" s="69"/>
      <c r="I525" s="69"/>
      <c r="J525" s="69"/>
      <c r="K525" t="str">
        <f t="shared" si="50"/>
        <v>Not a Lease</v>
      </c>
      <c r="L525" s="69"/>
      <c r="M525" s="69"/>
      <c r="N525" s="69"/>
      <c r="O525" s="69"/>
      <c r="P525" s="69"/>
      <c r="Q525" s="69"/>
      <c r="R525" s="69"/>
      <c r="S525" s="69"/>
      <c r="T525" s="69"/>
      <c r="U525" s="69"/>
      <c r="V525" s="69"/>
      <c r="W525" s="69"/>
      <c r="X525" s="69"/>
      <c r="Y525" s="69"/>
      <c r="Z525">
        <f t="shared" si="48"/>
        <v>0</v>
      </c>
      <c r="AA525">
        <f t="shared" si="51"/>
        <v>0</v>
      </c>
      <c r="AB525">
        <f t="shared" si="52"/>
        <v>0</v>
      </c>
      <c r="AC525">
        <f>+IF(Table3[[#This Row],[Do Both Parties have to agree for extension to occur?]]="Yes",0,IF(AND(W525="Yes",Q525="Yes"),IF(R525=X525,R525,MAX(R525,X525)),IF(AND(W525="Yes",OR(Q525="No",Q525="")),X525,IF(AND(OR(W525="No",W525=""),Q525="Yes"),R525,0))))</f>
        <v>0</v>
      </c>
      <c r="AD525" s="69"/>
      <c r="AE525" s="69"/>
      <c r="AF525" t="str">
        <f>IF(AD525="Monthly",Table3[[#This Row],[Assessed Term]]*12,IF(AD525="quarterly",Table3[[#This Row],[Assessed Term]]*4,IF(AD525="annually",Table3[[#This Row],[Assessed Term]]*1,IF(AD525="weekly",Table3[[#This Row],[Assessed Term]]*52,IF(AD525="semiannually",Table3[[#This Row],[Assessed Term]]*2," ")))))</f>
        <v xml:space="preserve"> </v>
      </c>
      <c r="AG525" s="69"/>
      <c r="AH525" s="69"/>
      <c r="AI525" s="73"/>
      <c r="AJ525" s="73"/>
      <c r="AK525" s="73"/>
      <c r="AL525" s="69"/>
      <c r="AM525" s="69"/>
      <c r="AN525" s="120"/>
      <c r="AO525" s="76" t="b">
        <f>IF(K525 = "Lease",+PV(AN525/(AF525/Table3[[#This Row],[Assessed Term]]),AF525,-AI525,0,IF(AE525="Beginning",1,0)))</f>
        <v>0</v>
      </c>
      <c r="AP525" s="69"/>
      <c r="AQ525" s="76">
        <f t="shared" si="49"/>
        <v>0</v>
      </c>
      <c r="AR525" s="72"/>
    </row>
    <row r="526" spans="1:44">
      <c r="A526" s="69"/>
      <c r="B526" s="70"/>
      <c r="C526" s="69"/>
      <c r="D526" s="69"/>
      <c r="E526" s="69"/>
      <c r="F526" s="69"/>
      <c r="G526" s="69"/>
      <c r="H526" s="69"/>
      <c r="I526" s="69"/>
      <c r="J526" s="69"/>
      <c r="K526" t="str">
        <f t="shared" si="50"/>
        <v>Not a Lease</v>
      </c>
      <c r="L526" s="69"/>
      <c r="M526" s="69"/>
      <c r="N526" s="69"/>
      <c r="O526" s="69"/>
      <c r="P526" s="69"/>
      <c r="Q526" s="69"/>
      <c r="R526" s="69"/>
      <c r="S526" s="69"/>
      <c r="T526" s="69"/>
      <c r="U526" s="69"/>
      <c r="V526" s="69"/>
      <c r="W526" s="69"/>
      <c r="X526" s="69"/>
      <c r="Y526" s="69"/>
      <c r="Z526">
        <f t="shared" si="48"/>
        <v>0</v>
      </c>
      <c r="AA526">
        <f t="shared" si="51"/>
        <v>0</v>
      </c>
      <c r="AB526">
        <f t="shared" si="52"/>
        <v>0</v>
      </c>
      <c r="AC526">
        <f>+IF(Table3[[#This Row],[Do Both Parties have to agree for extension to occur?]]="Yes",0,IF(AND(W526="Yes",Q526="Yes"),IF(R526=X526,R526,MAX(R526,X526)),IF(AND(W526="Yes",OR(Q526="No",Q526="")),X526,IF(AND(OR(W526="No",W526=""),Q526="Yes"),R526,0))))</f>
        <v>0</v>
      </c>
      <c r="AD526" s="69"/>
      <c r="AE526" s="69"/>
      <c r="AF526" t="str">
        <f>IF(AD526="Monthly",Table3[[#This Row],[Assessed Term]]*12,IF(AD526="quarterly",Table3[[#This Row],[Assessed Term]]*4,IF(AD526="annually",Table3[[#This Row],[Assessed Term]]*1,IF(AD526="weekly",Table3[[#This Row],[Assessed Term]]*52,IF(AD526="semiannually",Table3[[#This Row],[Assessed Term]]*2," ")))))</f>
        <v xml:space="preserve"> </v>
      </c>
      <c r="AG526" s="69"/>
      <c r="AH526" s="69"/>
      <c r="AI526" s="73"/>
      <c r="AJ526" s="73"/>
      <c r="AK526" s="73"/>
      <c r="AL526" s="69"/>
      <c r="AM526" s="69"/>
      <c r="AN526" s="120"/>
      <c r="AO526" s="76" t="b">
        <f>IF(K526 = "Lease",+PV(AN526/(AF526/Table3[[#This Row],[Assessed Term]]),AF526,-AI526,0,IF(AE526="Beginning",1,0)))</f>
        <v>0</v>
      </c>
      <c r="AP526" s="69"/>
      <c r="AQ526" s="76">
        <f t="shared" si="49"/>
        <v>0</v>
      </c>
      <c r="AR526" s="72"/>
    </row>
    <row r="527" spans="1:44">
      <c r="A527" s="69"/>
      <c r="B527" s="70"/>
      <c r="C527" s="69"/>
      <c r="D527" s="69"/>
      <c r="E527" s="69"/>
      <c r="F527" s="69"/>
      <c r="G527" s="69"/>
      <c r="H527" s="69"/>
      <c r="I527" s="69"/>
      <c r="J527" s="69"/>
      <c r="K527" t="str">
        <f t="shared" si="50"/>
        <v>Not a Lease</v>
      </c>
      <c r="L527" s="69"/>
      <c r="M527" s="69"/>
      <c r="N527" s="69"/>
      <c r="O527" s="69"/>
      <c r="P527" s="69"/>
      <c r="Q527" s="69"/>
      <c r="R527" s="69"/>
      <c r="S527" s="69"/>
      <c r="T527" s="69"/>
      <c r="U527" s="69"/>
      <c r="V527" s="69"/>
      <c r="W527" s="69"/>
      <c r="X527" s="69"/>
      <c r="Y527" s="69"/>
      <c r="Z527">
        <f t="shared" si="48"/>
        <v>0</v>
      </c>
      <c r="AA527">
        <f t="shared" si="51"/>
        <v>0</v>
      </c>
      <c r="AB527">
        <f t="shared" si="52"/>
        <v>0</v>
      </c>
      <c r="AC527">
        <f>+IF(Table3[[#This Row],[Do Both Parties have to agree for extension to occur?]]="Yes",0,IF(AND(W527="Yes",Q527="Yes"),IF(R527=X527,R527,MAX(R527,X527)),IF(AND(W527="Yes",OR(Q527="No",Q527="")),X527,IF(AND(OR(W527="No",W527=""),Q527="Yes"),R527,0))))</f>
        <v>0</v>
      </c>
      <c r="AD527" s="69"/>
      <c r="AE527" s="69"/>
      <c r="AF527" t="str">
        <f>IF(AD527="Monthly",Table3[[#This Row],[Assessed Term]]*12,IF(AD527="quarterly",Table3[[#This Row],[Assessed Term]]*4,IF(AD527="annually",Table3[[#This Row],[Assessed Term]]*1,IF(AD527="weekly",Table3[[#This Row],[Assessed Term]]*52,IF(AD527="semiannually",Table3[[#This Row],[Assessed Term]]*2," ")))))</f>
        <v xml:space="preserve"> </v>
      </c>
      <c r="AG527" s="69"/>
      <c r="AH527" s="69"/>
      <c r="AI527" s="73"/>
      <c r="AJ527" s="73"/>
      <c r="AK527" s="73"/>
      <c r="AL527" s="69"/>
      <c r="AM527" s="69"/>
      <c r="AN527" s="120"/>
      <c r="AO527" s="76" t="b">
        <f>IF(K527 = "Lease",+PV(AN527/(AF527/Table3[[#This Row],[Assessed Term]]),AF527,-AI527,0,IF(AE527="Beginning",1,0)))</f>
        <v>0</v>
      </c>
      <c r="AP527" s="69"/>
      <c r="AQ527" s="76">
        <f t="shared" si="49"/>
        <v>0</v>
      </c>
      <c r="AR527" s="72"/>
    </row>
    <row r="528" spans="1:44">
      <c r="A528" s="69"/>
      <c r="B528" s="70"/>
      <c r="C528" s="69"/>
      <c r="D528" s="69"/>
      <c r="E528" s="69"/>
      <c r="F528" s="69"/>
      <c r="G528" s="69"/>
      <c r="H528" s="69"/>
      <c r="I528" s="69"/>
      <c r="J528" s="69"/>
      <c r="K528" t="str">
        <f t="shared" si="50"/>
        <v>Not a Lease</v>
      </c>
      <c r="L528" s="69"/>
      <c r="M528" s="69"/>
      <c r="N528" s="69"/>
      <c r="O528" s="69"/>
      <c r="P528" s="69"/>
      <c r="Q528" s="69"/>
      <c r="R528" s="69"/>
      <c r="S528" s="69"/>
      <c r="T528" s="69"/>
      <c r="U528" s="69"/>
      <c r="V528" s="69"/>
      <c r="W528" s="69"/>
      <c r="X528" s="69"/>
      <c r="Y528" s="69"/>
      <c r="Z528">
        <f t="shared" si="48"/>
        <v>0</v>
      </c>
      <c r="AA528">
        <f t="shared" si="51"/>
        <v>0</v>
      </c>
      <c r="AB528">
        <f t="shared" si="52"/>
        <v>0</v>
      </c>
      <c r="AC528">
        <f>+IF(Table3[[#This Row],[Do Both Parties have to agree for extension to occur?]]="Yes",0,IF(AND(W528="Yes",Q528="Yes"),IF(R528=X528,R528,MAX(R528,X528)),IF(AND(W528="Yes",OR(Q528="No",Q528="")),X528,IF(AND(OR(W528="No",W528=""),Q528="Yes"),R528,0))))</f>
        <v>0</v>
      </c>
      <c r="AD528" s="69"/>
      <c r="AE528" s="69"/>
      <c r="AF528" t="str">
        <f>IF(AD528="Monthly",Table3[[#This Row],[Assessed Term]]*12,IF(AD528="quarterly",Table3[[#This Row],[Assessed Term]]*4,IF(AD528="annually",Table3[[#This Row],[Assessed Term]]*1,IF(AD528="weekly",Table3[[#This Row],[Assessed Term]]*52,IF(AD528="semiannually",Table3[[#This Row],[Assessed Term]]*2," ")))))</f>
        <v xml:space="preserve"> </v>
      </c>
      <c r="AG528" s="69"/>
      <c r="AH528" s="69"/>
      <c r="AI528" s="73"/>
      <c r="AJ528" s="73"/>
      <c r="AK528" s="73"/>
      <c r="AL528" s="69"/>
      <c r="AM528" s="69"/>
      <c r="AN528" s="120"/>
      <c r="AO528" s="76" t="b">
        <f>IF(K528 = "Lease",+PV(AN528/(AF528/Table3[[#This Row],[Assessed Term]]),AF528,-AI528,0,IF(AE528="Beginning",1,0)))</f>
        <v>0</v>
      </c>
      <c r="AP528" s="69"/>
      <c r="AQ528" s="76">
        <f t="shared" si="49"/>
        <v>0</v>
      </c>
      <c r="AR528" s="72"/>
    </row>
    <row r="529" spans="1:44">
      <c r="A529" s="69"/>
      <c r="B529" s="70"/>
      <c r="C529" s="69"/>
      <c r="D529" s="69"/>
      <c r="E529" s="69"/>
      <c r="F529" s="69"/>
      <c r="G529" s="69"/>
      <c r="H529" s="69"/>
      <c r="I529" s="69"/>
      <c r="J529" s="69"/>
      <c r="K529" t="str">
        <f t="shared" si="50"/>
        <v>Not a Lease</v>
      </c>
      <c r="L529" s="69"/>
      <c r="M529" s="69"/>
      <c r="N529" s="69"/>
      <c r="O529" s="69"/>
      <c r="P529" s="69"/>
      <c r="Q529" s="69"/>
      <c r="R529" s="69"/>
      <c r="S529" s="69"/>
      <c r="T529" s="69"/>
      <c r="U529" s="69"/>
      <c r="V529" s="69"/>
      <c r="W529" s="69"/>
      <c r="X529" s="69"/>
      <c r="Y529" s="69"/>
      <c r="Z529">
        <f t="shared" si="48"/>
        <v>0</v>
      </c>
      <c r="AA529">
        <f t="shared" si="51"/>
        <v>0</v>
      </c>
      <c r="AB529">
        <f t="shared" si="52"/>
        <v>0</v>
      </c>
      <c r="AC529">
        <f>+IF(Table3[[#This Row],[Do Both Parties have to agree for extension to occur?]]="Yes",0,IF(AND(W529="Yes",Q529="Yes"),IF(R529=X529,R529,MAX(R529,X529)),IF(AND(W529="Yes",OR(Q529="No",Q529="")),X529,IF(AND(OR(W529="No",W529=""),Q529="Yes"),R529,0))))</f>
        <v>0</v>
      </c>
      <c r="AD529" s="69"/>
      <c r="AE529" s="69"/>
      <c r="AF529" t="str">
        <f>IF(AD529="Monthly",Table3[[#This Row],[Assessed Term]]*12,IF(AD529="quarterly",Table3[[#This Row],[Assessed Term]]*4,IF(AD529="annually",Table3[[#This Row],[Assessed Term]]*1,IF(AD529="weekly",Table3[[#This Row],[Assessed Term]]*52,IF(AD529="semiannually",Table3[[#This Row],[Assessed Term]]*2," ")))))</f>
        <v xml:space="preserve"> </v>
      </c>
      <c r="AG529" s="69"/>
      <c r="AH529" s="69"/>
      <c r="AI529" s="73"/>
      <c r="AJ529" s="73"/>
      <c r="AK529" s="73"/>
      <c r="AL529" s="69"/>
      <c r="AM529" s="69"/>
      <c r="AN529" s="120"/>
      <c r="AO529" s="76" t="b">
        <f>IF(K529 = "Lease",+PV(AN529/(AF529/Table3[[#This Row],[Assessed Term]]),AF529,-AI529,0,IF(AE529="Beginning",1,0)))</f>
        <v>0</v>
      </c>
      <c r="AP529" s="69"/>
      <c r="AQ529" s="76">
        <f t="shared" si="49"/>
        <v>0</v>
      </c>
      <c r="AR529" s="72"/>
    </row>
    <row r="530" spans="1:44">
      <c r="A530" s="69"/>
      <c r="B530" s="70"/>
      <c r="C530" s="69"/>
      <c r="D530" s="69"/>
      <c r="E530" s="69"/>
      <c r="F530" s="69"/>
      <c r="G530" s="69"/>
      <c r="H530" s="69"/>
      <c r="I530" s="69"/>
      <c r="J530" s="69"/>
      <c r="K530" t="str">
        <f t="shared" si="50"/>
        <v>Not a Lease</v>
      </c>
      <c r="L530" s="69"/>
      <c r="M530" s="69"/>
      <c r="N530" s="69"/>
      <c r="O530" s="69"/>
      <c r="P530" s="69"/>
      <c r="Q530" s="69"/>
      <c r="R530" s="69"/>
      <c r="S530" s="69"/>
      <c r="T530" s="69"/>
      <c r="U530" s="69"/>
      <c r="V530" s="69"/>
      <c r="W530" s="69"/>
      <c r="X530" s="69"/>
      <c r="Y530" s="69"/>
      <c r="Z530">
        <f t="shared" si="48"/>
        <v>0</v>
      </c>
      <c r="AA530">
        <f t="shared" si="51"/>
        <v>0</v>
      </c>
      <c r="AB530">
        <f t="shared" si="52"/>
        <v>0</v>
      </c>
      <c r="AC530">
        <f>+IF(Table3[[#This Row],[Do Both Parties have to agree for extension to occur?]]="Yes",0,IF(AND(W530="Yes",Q530="Yes"),IF(R530=X530,R530,MAX(R530,X530)),IF(AND(W530="Yes",OR(Q530="No",Q530="")),X530,IF(AND(OR(W530="No",W530=""),Q530="Yes"),R530,0))))</f>
        <v>0</v>
      </c>
      <c r="AD530" s="69"/>
      <c r="AE530" s="69"/>
      <c r="AF530" t="str">
        <f>IF(AD530="Monthly",Table3[[#This Row],[Assessed Term]]*12,IF(AD530="quarterly",Table3[[#This Row],[Assessed Term]]*4,IF(AD530="annually",Table3[[#This Row],[Assessed Term]]*1,IF(AD530="weekly",Table3[[#This Row],[Assessed Term]]*52,IF(AD530="semiannually",Table3[[#This Row],[Assessed Term]]*2," ")))))</f>
        <v xml:space="preserve"> </v>
      </c>
      <c r="AG530" s="69"/>
      <c r="AH530" s="69"/>
      <c r="AI530" s="73"/>
      <c r="AJ530" s="73"/>
      <c r="AK530" s="73"/>
      <c r="AL530" s="69"/>
      <c r="AM530" s="69"/>
      <c r="AN530" s="120"/>
      <c r="AO530" s="76" t="b">
        <f>IF(K530 = "Lease",+PV(AN530/(AF530/Table3[[#This Row],[Assessed Term]]),AF530,-AI530,0,IF(AE530="Beginning",1,0)))</f>
        <v>0</v>
      </c>
      <c r="AP530" s="69"/>
      <c r="AQ530" s="76">
        <f t="shared" si="49"/>
        <v>0</v>
      </c>
      <c r="AR530" s="72"/>
    </row>
    <row r="531" spans="1:44">
      <c r="A531" s="69"/>
      <c r="B531" s="70"/>
      <c r="C531" s="69"/>
      <c r="D531" s="69"/>
      <c r="E531" s="69"/>
      <c r="F531" s="69"/>
      <c r="G531" s="69"/>
      <c r="H531" s="69"/>
      <c r="I531" s="69"/>
      <c r="J531" s="69"/>
      <c r="K531" t="str">
        <f t="shared" si="50"/>
        <v>Not a Lease</v>
      </c>
      <c r="L531" s="69"/>
      <c r="M531" s="69"/>
      <c r="N531" s="69"/>
      <c r="O531" s="69"/>
      <c r="P531" s="69"/>
      <c r="Q531" s="69"/>
      <c r="R531" s="69"/>
      <c r="S531" s="69"/>
      <c r="T531" s="69"/>
      <c r="U531" s="69"/>
      <c r="V531" s="69"/>
      <c r="W531" s="69"/>
      <c r="X531" s="69"/>
      <c r="Y531" s="69"/>
      <c r="Z531">
        <f t="shared" si="48"/>
        <v>0</v>
      </c>
      <c r="AA531">
        <f t="shared" si="51"/>
        <v>0</v>
      </c>
      <c r="AB531">
        <f t="shared" si="52"/>
        <v>0</v>
      </c>
      <c r="AC531">
        <f>+IF(Table3[[#This Row],[Do Both Parties have to agree for extension to occur?]]="Yes",0,IF(AND(W531="Yes",Q531="Yes"),IF(R531=X531,R531,MAX(R531,X531)),IF(AND(W531="Yes",OR(Q531="No",Q531="")),X531,IF(AND(OR(W531="No",W531=""),Q531="Yes"),R531,0))))</f>
        <v>0</v>
      </c>
      <c r="AD531" s="69"/>
      <c r="AE531" s="69"/>
      <c r="AF531" t="str">
        <f>IF(AD531="Monthly",Table3[[#This Row],[Assessed Term]]*12,IF(AD531="quarterly",Table3[[#This Row],[Assessed Term]]*4,IF(AD531="annually",Table3[[#This Row],[Assessed Term]]*1,IF(AD531="weekly",Table3[[#This Row],[Assessed Term]]*52,IF(AD531="semiannually",Table3[[#This Row],[Assessed Term]]*2," ")))))</f>
        <v xml:space="preserve"> </v>
      </c>
      <c r="AG531" s="69"/>
      <c r="AH531" s="69"/>
      <c r="AI531" s="73"/>
      <c r="AJ531" s="73"/>
      <c r="AK531" s="73"/>
      <c r="AL531" s="69"/>
      <c r="AM531" s="69"/>
      <c r="AN531" s="120"/>
      <c r="AO531" s="76" t="b">
        <f>IF(K531 = "Lease",+PV(AN531/(AF531/Table3[[#This Row],[Assessed Term]]),AF531,-AI531,0,IF(AE531="Beginning",1,0)))</f>
        <v>0</v>
      </c>
      <c r="AP531" s="69"/>
      <c r="AQ531" s="76">
        <f t="shared" si="49"/>
        <v>0</v>
      </c>
      <c r="AR531" s="72"/>
    </row>
    <row r="532" spans="1:44">
      <c r="A532" s="69"/>
      <c r="B532" s="70"/>
      <c r="C532" s="69"/>
      <c r="D532" s="69"/>
      <c r="E532" s="69"/>
      <c r="F532" s="69"/>
      <c r="G532" s="69"/>
      <c r="H532" s="69"/>
      <c r="I532" s="69"/>
      <c r="J532" s="69"/>
      <c r="K532" t="str">
        <f t="shared" si="50"/>
        <v>Not a Lease</v>
      </c>
      <c r="L532" s="69"/>
      <c r="M532" s="69"/>
      <c r="N532" s="69"/>
      <c r="O532" s="69"/>
      <c r="P532" s="69"/>
      <c r="Q532" s="69"/>
      <c r="R532" s="69"/>
      <c r="S532" s="69"/>
      <c r="T532" s="69"/>
      <c r="U532" s="69"/>
      <c r="V532" s="69"/>
      <c r="W532" s="69"/>
      <c r="X532" s="69"/>
      <c r="Y532" s="69"/>
      <c r="Z532">
        <f t="shared" si="48"/>
        <v>0</v>
      </c>
      <c r="AA532">
        <f t="shared" si="51"/>
        <v>0</v>
      </c>
      <c r="AB532">
        <f t="shared" si="52"/>
        <v>0</v>
      </c>
      <c r="AC532">
        <f>+IF(Table3[[#This Row],[Do Both Parties have to agree for extension to occur?]]="Yes",0,IF(AND(W532="Yes",Q532="Yes"),IF(R532=X532,R532,MAX(R532,X532)),IF(AND(W532="Yes",OR(Q532="No",Q532="")),X532,IF(AND(OR(W532="No",W532=""),Q532="Yes"),R532,0))))</f>
        <v>0</v>
      </c>
      <c r="AD532" s="69"/>
      <c r="AE532" s="69"/>
      <c r="AF532" t="str">
        <f>IF(AD532="Monthly",Table3[[#This Row],[Assessed Term]]*12,IF(AD532="quarterly",Table3[[#This Row],[Assessed Term]]*4,IF(AD532="annually",Table3[[#This Row],[Assessed Term]]*1,IF(AD532="weekly",Table3[[#This Row],[Assessed Term]]*52,IF(AD532="semiannually",Table3[[#This Row],[Assessed Term]]*2," ")))))</f>
        <v xml:space="preserve"> </v>
      </c>
      <c r="AG532" s="69"/>
      <c r="AH532" s="69"/>
      <c r="AI532" s="73"/>
      <c r="AJ532" s="73"/>
      <c r="AK532" s="73"/>
      <c r="AL532" s="69"/>
      <c r="AM532" s="69"/>
      <c r="AN532" s="120"/>
      <c r="AO532" s="76" t="b">
        <f>IF(K532 = "Lease",+PV(AN532/(AF532/Table3[[#This Row],[Assessed Term]]),AF532,-AI532,0,IF(AE532="Beginning",1,0)))</f>
        <v>0</v>
      </c>
      <c r="AP532" s="69"/>
      <c r="AQ532" s="76">
        <f t="shared" si="49"/>
        <v>0</v>
      </c>
      <c r="AR532" s="72"/>
    </row>
    <row r="533" spans="1:44">
      <c r="A533" s="69"/>
      <c r="B533" s="70"/>
      <c r="C533" s="69"/>
      <c r="D533" s="69"/>
      <c r="E533" s="69"/>
      <c r="F533" s="69"/>
      <c r="G533" s="69"/>
      <c r="H533" s="69"/>
      <c r="I533" s="69"/>
      <c r="J533" s="69"/>
      <c r="K533" t="str">
        <f t="shared" si="50"/>
        <v>Not a Lease</v>
      </c>
      <c r="L533" s="69"/>
      <c r="M533" s="69"/>
      <c r="N533" s="69"/>
      <c r="O533" s="69"/>
      <c r="P533" s="69"/>
      <c r="Q533" s="69"/>
      <c r="R533" s="69"/>
      <c r="S533" s="69"/>
      <c r="T533" s="69"/>
      <c r="U533" s="69"/>
      <c r="V533" s="69"/>
      <c r="W533" s="69"/>
      <c r="X533" s="69"/>
      <c r="Y533" s="69"/>
      <c r="Z533">
        <f t="shared" si="48"/>
        <v>0</v>
      </c>
      <c r="AA533">
        <f t="shared" si="51"/>
        <v>0</v>
      </c>
      <c r="AB533">
        <f t="shared" si="52"/>
        <v>0</v>
      </c>
      <c r="AC533">
        <f>+IF(Table3[[#This Row],[Do Both Parties have to agree for extension to occur?]]="Yes",0,IF(AND(W533="Yes",Q533="Yes"),IF(R533=X533,R533,MAX(R533,X533)),IF(AND(W533="Yes",OR(Q533="No",Q533="")),X533,IF(AND(OR(W533="No",W533=""),Q533="Yes"),R533,0))))</f>
        <v>0</v>
      </c>
      <c r="AD533" s="69"/>
      <c r="AE533" s="69"/>
      <c r="AF533" t="str">
        <f>IF(AD533="Monthly",Table3[[#This Row],[Assessed Term]]*12,IF(AD533="quarterly",Table3[[#This Row],[Assessed Term]]*4,IF(AD533="annually",Table3[[#This Row],[Assessed Term]]*1,IF(AD533="weekly",Table3[[#This Row],[Assessed Term]]*52,IF(AD533="semiannually",Table3[[#This Row],[Assessed Term]]*2," ")))))</f>
        <v xml:space="preserve"> </v>
      </c>
      <c r="AG533" s="69"/>
      <c r="AH533" s="69"/>
      <c r="AI533" s="73"/>
      <c r="AJ533" s="73"/>
      <c r="AK533" s="73"/>
      <c r="AL533" s="69"/>
      <c r="AM533" s="69"/>
      <c r="AN533" s="120"/>
      <c r="AO533" s="76" t="b">
        <f>IF(K533 = "Lease",+PV(AN533/(AF533/Table3[[#This Row],[Assessed Term]]),AF533,-AI533,0,IF(AE533="Beginning",1,0)))</f>
        <v>0</v>
      </c>
      <c r="AP533" s="69"/>
      <c r="AQ533" s="76">
        <f t="shared" si="49"/>
        <v>0</v>
      </c>
      <c r="AR533" s="72"/>
    </row>
    <row r="534" spans="1:44">
      <c r="A534" s="69"/>
      <c r="B534" s="70"/>
      <c r="C534" s="69"/>
      <c r="D534" s="69"/>
      <c r="E534" s="69"/>
      <c r="F534" s="69"/>
      <c r="G534" s="69"/>
      <c r="H534" s="69"/>
      <c r="I534" s="69"/>
      <c r="J534" s="69"/>
      <c r="K534" t="str">
        <f t="shared" si="50"/>
        <v>Not a Lease</v>
      </c>
      <c r="L534" s="69"/>
      <c r="M534" s="69"/>
      <c r="N534" s="69"/>
      <c r="O534" s="69"/>
      <c r="P534" s="69"/>
      <c r="Q534" s="69"/>
      <c r="R534" s="69"/>
      <c r="S534" s="69"/>
      <c r="T534" s="69"/>
      <c r="U534" s="69"/>
      <c r="V534" s="69"/>
      <c r="W534" s="69"/>
      <c r="X534" s="69"/>
      <c r="Y534" s="69"/>
      <c r="Z534">
        <f t="shared" si="48"/>
        <v>0</v>
      </c>
      <c r="AA534">
        <f t="shared" si="51"/>
        <v>0</v>
      </c>
      <c r="AB534">
        <f t="shared" si="52"/>
        <v>0</v>
      </c>
      <c r="AC534">
        <f>+IF(Table3[[#This Row],[Do Both Parties have to agree for extension to occur?]]="Yes",0,IF(AND(W534="Yes",Q534="Yes"),IF(R534=X534,R534,MAX(R534,X534)),IF(AND(W534="Yes",OR(Q534="No",Q534="")),X534,IF(AND(OR(W534="No",W534=""),Q534="Yes"),R534,0))))</f>
        <v>0</v>
      </c>
      <c r="AD534" s="69"/>
      <c r="AE534" s="69"/>
      <c r="AF534" t="str">
        <f>IF(AD534="Monthly",Table3[[#This Row],[Assessed Term]]*12,IF(AD534="quarterly",Table3[[#This Row],[Assessed Term]]*4,IF(AD534="annually",Table3[[#This Row],[Assessed Term]]*1,IF(AD534="weekly",Table3[[#This Row],[Assessed Term]]*52,IF(AD534="semiannually",Table3[[#This Row],[Assessed Term]]*2," ")))))</f>
        <v xml:space="preserve"> </v>
      </c>
      <c r="AG534" s="69"/>
      <c r="AH534" s="69"/>
      <c r="AI534" s="73"/>
      <c r="AJ534" s="73"/>
      <c r="AK534" s="73"/>
      <c r="AL534" s="69"/>
      <c r="AM534" s="69"/>
      <c r="AN534" s="120"/>
      <c r="AO534" s="76" t="b">
        <f>IF(K534 = "Lease",+PV(AN534/(AF534/Table3[[#This Row],[Assessed Term]]),AF534,-AI534,0,IF(AE534="Beginning",1,0)))</f>
        <v>0</v>
      </c>
      <c r="AP534" s="69"/>
      <c r="AQ534" s="76">
        <f t="shared" si="49"/>
        <v>0</v>
      </c>
      <c r="AR534" s="72"/>
    </row>
    <row r="535" spans="1:44">
      <c r="A535" s="69"/>
      <c r="B535" s="70"/>
      <c r="C535" s="69"/>
      <c r="D535" s="69"/>
      <c r="E535" s="69"/>
      <c r="F535" s="69"/>
      <c r="G535" s="69"/>
      <c r="H535" s="69"/>
      <c r="I535" s="69"/>
      <c r="J535" s="69"/>
      <c r="K535" t="str">
        <f t="shared" si="50"/>
        <v>Not a Lease</v>
      </c>
      <c r="L535" s="69"/>
      <c r="M535" s="69"/>
      <c r="N535" s="69"/>
      <c r="O535" s="69"/>
      <c r="P535" s="69"/>
      <c r="Q535" s="69"/>
      <c r="R535" s="69"/>
      <c r="S535" s="69"/>
      <c r="T535" s="69"/>
      <c r="U535" s="69"/>
      <c r="V535" s="69"/>
      <c r="W535" s="69"/>
      <c r="X535" s="69"/>
      <c r="Y535" s="69"/>
      <c r="Z535">
        <f t="shared" si="48"/>
        <v>0</v>
      </c>
      <c r="AA535">
        <f t="shared" si="51"/>
        <v>0</v>
      </c>
      <c r="AB535">
        <f t="shared" si="52"/>
        <v>0</v>
      </c>
      <c r="AC535">
        <f>+IF(Table3[[#This Row],[Do Both Parties have to agree for extension to occur?]]="Yes",0,IF(AND(W535="Yes",Q535="Yes"),IF(R535=X535,R535,MAX(R535,X535)),IF(AND(W535="Yes",OR(Q535="No",Q535="")),X535,IF(AND(OR(W535="No",W535=""),Q535="Yes"),R535,0))))</f>
        <v>0</v>
      </c>
      <c r="AD535" s="69"/>
      <c r="AE535" s="69"/>
      <c r="AF535" t="str">
        <f>IF(AD535="Monthly",Table3[[#This Row],[Assessed Term]]*12,IF(AD535="quarterly",Table3[[#This Row],[Assessed Term]]*4,IF(AD535="annually",Table3[[#This Row],[Assessed Term]]*1,IF(AD535="weekly",Table3[[#This Row],[Assessed Term]]*52,IF(AD535="semiannually",Table3[[#This Row],[Assessed Term]]*2," ")))))</f>
        <v xml:space="preserve"> </v>
      </c>
      <c r="AG535" s="69"/>
      <c r="AH535" s="69"/>
      <c r="AI535" s="73"/>
      <c r="AJ535" s="73"/>
      <c r="AK535" s="73"/>
      <c r="AL535" s="69"/>
      <c r="AM535" s="69"/>
      <c r="AN535" s="120"/>
      <c r="AO535" s="76" t="b">
        <f>IF(K535 = "Lease",+PV(AN535/(AF535/Table3[[#This Row],[Assessed Term]]),AF535,-AI535,0,IF(AE535="Beginning",1,0)))</f>
        <v>0</v>
      </c>
      <c r="AP535" s="69"/>
      <c r="AQ535" s="76">
        <f t="shared" si="49"/>
        <v>0</v>
      </c>
      <c r="AR535" s="72"/>
    </row>
    <row r="536" spans="1:44">
      <c r="A536" s="69"/>
      <c r="B536" s="70"/>
      <c r="C536" s="69"/>
      <c r="D536" s="69"/>
      <c r="E536" s="69"/>
      <c r="F536" s="69"/>
      <c r="G536" s="69"/>
      <c r="H536" s="69"/>
      <c r="I536" s="69"/>
      <c r="J536" s="69"/>
      <c r="K536" t="str">
        <f t="shared" si="50"/>
        <v>Not a Lease</v>
      </c>
      <c r="L536" s="69"/>
      <c r="M536" s="69"/>
      <c r="N536" s="69"/>
      <c r="O536" s="69"/>
      <c r="P536" s="69"/>
      <c r="Q536" s="69"/>
      <c r="R536" s="69"/>
      <c r="S536" s="69"/>
      <c r="T536" s="69"/>
      <c r="U536" s="69"/>
      <c r="V536" s="69"/>
      <c r="W536" s="69"/>
      <c r="X536" s="69"/>
      <c r="Y536" s="69"/>
      <c r="Z536">
        <f t="shared" si="48"/>
        <v>0</v>
      </c>
      <c r="AA536">
        <f t="shared" si="51"/>
        <v>0</v>
      </c>
      <c r="AB536">
        <f t="shared" si="52"/>
        <v>0</v>
      </c>
      <c r="AC536">
        <f>+IF(Table3[[#This Row],[Do Both Parties have to agree for extension to occur?]]="Yes",0,IF(AND(W536="Yes",Q536="Yes"),IF(R536=X536,R536,MAX(R536,X536)),IF(AND(W536="Yes",OR(Q536="No",Q536="")),X536,IF(AND(OR(W536="No",W536=""),Q536="Yes"),R536,0))))</f>
        <v>0</v>
      </c>
      <c r="AD536" s="69"/>
      <c r="AE536" s="69"/>
      <c r="AF536" t="str">
        <f>IF(AD536="Monthly",Table3[[#This Row],[Assessed Term]]*12,IF(AD536="quarterly",Table3[[#This Row],[Assessed Term]]*4,IF(AD536="annually",Table3[[#This Row],[Assessed Term]]*1,IF(AD536="weekly",Table3[[#This Row],[Assessed Term]]*52,IF(AD536="semiannually",Table3[[#This Row],[Assessed Term]]*2," ")))))</f>
        <v xml:space="preserve"> </v>
      </c>
      <c r="AG536" s="69"/>
      <c r="AH536" s="69"/>
      <c r="AI536" s="73"/>
      <c r="AJ536" s="73"/>
      <c r="AK536" s="73"/>
      <c r="AL536" s="69"/>
      <c r="AM536" s="69"/>
      <c r="AN536" s="120"/>
      <c r="AO536" s="76" t="b">
        <f>IF(K536 = "Lease",+PV(AN536/(AF536/Table3[[#This Row],[Assessed Term]]),AF536,-AI536,0,IF(AE536="Beginning",1,0)))</f>
        <v>0</v>
      </c>
      <c r="AP536" s="69"/>
      <c r="AQ536" s="76">
        <f t="shared" si="49"/>
        <v>0</v>
      </c>
      <c r="AR536" s="72"/>
    </row>
    <row r="537" spans="1:44">
      <c r="A537" s="69"/>
      <c r="B537" s="70"/>
      <c r="C537" s="69"/>
      <c r="D537" s="69"/>
      <c r="E537" s="69"/>
      <c r="F537" s="69"/>
      <c r="G537" s="69"/>
      <c r="H537" s="69"/>
      <c r="I537" s="69"/>
      <c r="J537" s="69"/>
      <c r="K537" t="str">
        <f t="shared" si="50"/>
        <v>Not a Lease</v>
      </c>
      <c r="L537" s="69"/>
      <c r="M537" s="69"/>
      <c r="N537" s="69"/>
      <c r="O537" s="69"/>
      <c r="P537" s="69"/>
      <c r="Q537" s="69"/>
      <c r="R537" s="69"/>
      <c r="S537" s="69"/>
      <c r="T537" s="69"/>
      <c r="U537" s="69"/>
      <c r="V537" s="69"/>
      <c r="W537" s="69"/>
      <c r="X537" s="69"/>
      <c r="Y537" s="69"/>
      <c r="Z537">
        <f t="shared" si="48"/>
        <v>0</v>
      </c>
      <c r="AA537">
        <f t="shared" si="51"/>
        <v>0</v>
      </c>
      <c r="AB537">
        <f t="shared" si="52"/>
        <v>0</v>
      </c>
      <c r="AC537">
        <f>+IF(Table3[[#This Row],[Do Both Parties have to agree for extension to occur?]]="Yes",0,IF(AND(W537="Yes",Q537="Yes"),IF(R537=X537,R537,MAX(R537,X537)),IF(AND(W537="Yes",OR(Q537="No",Q537="")),X537,IF(AND(OR(W537="No",W537=""),Q537="Yes"),R537,0))))</f>
        <v>0</v>
      </c>
      <c r="AD537" s="69"/>
      <c r="AE537" s="69"/>
      <c r="AF537" t="str">
        <f>IF(AD537="Monthly",Table3[[#This Row],[Assessed Term]]*12,IF(AD537="quarterly",Table3[[#This Row],[Assessed Term]]*4,IF(AD537="annually",Table3[[#This Row],[Assessed Term]]*1,IF(AD537="weekly",Table3[[#This Row],[Assessed Term]]*52,IF(AD537="semiannually",Table3[[#This Row],[Assessed Term]]*2," ")))))</f>
        <v xml:space="preserve"> </v>
      </c>
      <c r="AG537" s="69"/>
      <c r="AH537" s="69"/>
      <c r="AI537" s="73"/>
      <c r="AJ537" s="73"/>
      <c r="AK537" s="73"/>
      <c r="AL537" s="69"/>
      <c r="AM537" s="69"/>
      <c r="AN537" s="120"/>
      <c r="AO537" s="76" t="b">
        <f>IF(K537 = "Lease",+PV(AN537/(AF537/Table3[[#This Row],[Assessed Term]]),AF537,-AI537,0,IF(AE537="Beginning",1,0)))</f>
        <v>0</v>
      </c>
      <c r="AP537" s="69"/>
      <c r="AQ537" s="76">
        <f t="shared" si="49"/>
        <v>0</v>
      </c>
      <c r="AR537" s="72"/>
    </row>
    <row r="538" spans="1:44">
      <c r="A538" s="69"/>
      <c r="B538" s="70"/>
      <c r="C538" s="69"/>
      <c r="D538" s="69"/>
      <c r="E538" s="69"/>
      <c r="F538" s="69"/>
      <c r="G538" s="69"/>
      <c r="H538" s="69"/>
      <c r="I538" s="69"/>
      <c r="J538" s="69"/>
      <c r="K538" t="str">
        <f t="shared" si="50"/>
        <v>Not a Lease</v>
      </c>
      <c r="L538" s="69"/>
      <c r="M538" s="69"/>
      <c r="N538" s="69"/>
      <c r="O538" s="69"/>
      <c r="P538" s="69"/>
      <c r="Q538" s="69"/>
      <c r="R538" s="69"/>
      <c r="S538" s="69"/>
      <c r="T538" s="69"/>
      <c r="U538" s="69"/>
      <c r="V538" s="69"/>
      <c r="W538" s="69"/>
      <c r="X538" s="69"/>
      <c r="Y538" s="69"/>
      <c r="Z538">
        <f t="shared" si="48"/>
        <v>0</v>
      </c>
      <c r="AA538">
        <f t="shared" si="51"/>
        <v>0</v>
      </c>
      <c r="AB538">
        <f t="shared" si="52"/>
        <v>0</v>
      </c>
      <c r="AC538">
        <f>+IF(Table3[[#This Row],[Do Both Parties have to agree for extension to occur?]]="Yes",0,IF(AND(W538="Yes",Q538="Yes"),IF(R538=X538,R538,MAX(R538,X538)),IF(AND(W538="Yes",OR(Q538="No",Q538="")),X538,IF(AND(OR(W538="No",W538=""),Q538="Yes"),R538,0))))</f>
        <v>0</v>
      </c>
      <c r="AD538" s="69"/>
      <c r="AE538" s="69"/>
      <c r="AF538" t="str">
        <f>IF(AD538="Monthly",Table3[[#This Row],[Assessed Term]]*12,IF(AD538="quarterly",Table3[[#This Row],[Assessed Term]]*4,IF(AD538="annually",Table3[[#This Row],[Assessed Term]]*1,IF(AD538="weekly",Table3[[#This Row],[Assessed Term]]*52,IF(AD538="semiannually",Table3[[#This Row],[Assessed Term]]*2," ")))))</f>
        <v xml:space="preserve"> </v>
      </c>
      <c r="AG538" s="69"/>
      <c r="AH538" s="69"/>
      <c r="AI538" s="73"/>
      <c r="AJ538" s="73"/>
      <c r="AK538" s="73"/>
      <c r="AL538" s="69"/>
      <c r="AM538" s="69"/>
      <c r="AN538" s="120"/>
      <c r="AO538" s="76" t="b">
        <f>IF(K538 = "Lease",+PV(AN538/(AF538/Table3[[#This Row],[Assessed Term]]),AF538,-AI538,0,IF(AE538="Beginning",1,0)))</f>
        <v>0</v>
      </c>
      <c r="AP538" s="69"/>
      <c r="AQ538" s="76">
        <f t="shared" si="49"/>
        <v>0</v>
      </c>
      <c r="AR538" s="72"/>
    </row>
    <row r="539" spans="1:44">
      <c r="A539" s="69"/>
      <c r="B539" s="70"/>
      <c r="C539" s="69"/>
      <c r="D539" s="69"/>
      <c r="E539" s="69"/>
      <c r="F539" s="69"/>
      <c r="G539" s="69"/>
      <c r="H539" s="69"/>
      <c r="I539" s="69"/>
      <c r="J539" s="69"/>
      <c r="K539" t="str">
        <f t="shared" si="50"/>
        <v>Not a Lease</v>
      </c>
      <c r="L539" s="69"/>
      <c r="M539" s="69"/>
      <c r="N539" s="69"/>
      <c r="O539" s="69"/>
      <c r="P539" s="69"/>
      <c r="Q539" s="69"/>
      <c r="R539" s="69"/>
      <c r="S539" s="69"/>
      <c r="T539" s="69"/>
      <c r="U539" s="69"/>
      <c r="V539" s="69"/>
      <c r="W539" s="69"/>
      <c r="X539" s="69"/>
      <c r="Y539" s="69"/>
      <c r="Z539">
        <f t="shared" si="48"/>
        <v>0</v>
      </c>
      <c r="AA539">
        <f t="shared" si="51"/>
        <v>0</v>
      </c>
      <c r="AB539">
        <f t="shared" si="52"/>
        <v>0</v>
      </c>
      <c r="AC539">
        <f>+IF(Table3[[#This Row],[Do Both Parties have to agree for extension to occur?]]="Yes",0,IF(AND(W539="Yes",Q539="Yes"),IF(R539=X539,R539,MAX(R539,X539)),IF(AND(W539="Yes",OR(Q539="No",Q539="")),X539,IF(AND(OR(W539="No",W539=""),Q539="Yes"),R539,0))))</f>
        <v>0</v>
      </c>
      <c r="AD539" s="69"/>
      <c r="AE539" s="69"/>
      <c r="AF539" t="str">
        <f>IF(AD539="Monthly",Table3[[#This Row],[Assessed Term]]*12,IF(AD539="quarterly",Table3[[#This Row],[Assessed Term]]*4,IF(AD539="annually",Table3[[#This Row],[Assessed Term]]*1,IF(AD539="weekly",Table3[[#This Row],[Assessed Term]]*52,IF(AD539="semiannually",Table3[[#This Row],[Assessed Term]]*2," ")))))</f>
        <v xml:space="preserve"> </v>
      </c>
      <c r="AG539" s="69"/>
      <c r="AH539" s="69"/>
      <c r="AI539" s="73"/>
      <c r="AJ539" s="73"/>
      <c r="AK539" s="73"/>
      <c r="AL539" s="69"/>
      <c r="AM539" s="69"/>
      <c r="AN539" s="120"/>
      <c r="AO539" s="76" t="b">
        <f>IF(K539 = "Lease",+PV(AN539/(AF539/Table3[[#This Row],[Assessed Term]]),AF539,-AI539,0,IF(AE539="Beginning",1,0)))</f>
        <v>0</v>
      </c>
      <c r="AP539" s="69"/>
      <c r="AQ539" s="76">
        <f t="shared" si="49"/>
        <v>0</v>
      </c>
      <c r="AR539" s="72"/>
    </row>
    <row r="540" spans="1:44">
      <c r="A540" s="69"/>
      <c r="B540" s="70"/>
      <c r="C540" s="69"/>
      <c r="D540" s="69"/>
      <c r="E540" s="69"/>
      <c r="F540" s="69"/>
      <c r="G540" s="69"/>
      <c r="H540" s="69"/>
      <c r="I540" s="69"/>
      <c r="J540" s="69"/>
      <c r="K540" t="str">
        <f t="shared" si="50"/>
        <v>Not a Lease</v>
      </c>
      <c r="L540" s="69"/>
      <c r="M540" s="69"/>
      <c r="N540" s="69"/>
      <c r="O540" s="69"/>
      <c r="P540" s="69"/>
      <c r="Q540" s="69"/>
      <c r="R540" s="69"/>
      <c r="S540" s="69"/>
      <c r="T540" s="69"/>
      <c r="U540" s="69"/>
      <c r="V540" s="69"/>
      <c r="W540" s="69"/>
      <c r="X540" s="69"/>
      <c r="Y540" s="69"/>
      <c r="Z540">
        <f t="shared" si="48"/>
        <v>0</v>
      </c>
      <c r="AA540">
        <f t="shared" si="51"/>
        <v>0</v>
      </c>
      <c r="AB540">
        <f t="shared" si="52"/>
        <v>0</v>
      </c>
      <c r="AC540">
        <f>+IF(Table3[[#This Row],[Do Both Parties have to agree for extension to occur?]]="Yes",0,IF(AND(W540="Yes",Q540="Yes"),IF(R540=X540,R540,MAX(R540,X540)),IF(AND(W540="Yes",OR(Q540="No",Q540="")),X540,IF(AND(OR(W540="No",W540=""),Q540="Yes"),R540,0))))</f>
        <v>0</v>
      </c>
      <c r="AD540" s="69"/>
      <c r="AE540" s="69"/>
      <c r="AF540" t="str">
        <f>IF(AD540="Monthly",Table3[[#This Row],[Assessed Term]]*12,IF(AD540="quarterly",Table3[[#This Row],[Assessed Term]]*4,IF(AD540="annually",Table3[[#This Row],[Assessed Term]]*1,IF(AD540="weekly",Table3[[#This Row],[Assessed Term]]*52,IF(AD540="semiannually",Table3[[#This Row],[Assessed Term]]*2," ")))))</f>
        <v xml:space="preserve"> </v>
      </c>
      <c r="AG540" s="69"/>
      <c r="AH540" s="69"/>
      <c r="AI540" s="73"/>
      <c r="AJ540" s="73"/>
      <c r="AK540" s="73"/>
      <c r="AL540" s="69"/>
      <c r="AM540" s="69"/>
      <c r="AN540" s="120"/>
      <c r="AO540" s="76" t="b">
        <f>IF(K540 = "Lease",+PV(AN540/(AF540/Table3[[#This Row],[Assessed Term]]),AF540,-AI540,0,IF(AE540="Beginning",1,0)))</f>
        <v>0</v>
      </c>
      <c r="AP540" s="69"/>
      <c r="AQ540" s="76">
        <f t="shared" si="49"/>
        <v>0</v>
      </c>
      <c r="AR540" s="72"/>
    </row>
    <row r="541" spans="1:44">
      <c r="A541" s="69"/>
      <c r="B541" s="70"/>
      <c r="C541" s="69"/>
      <c r="D541" s="69"/>
      <c r="E541" s="69"/>
      <c r="F541" s="69"/>
      <c r="G541" s="69"/>
      <c r="H541" s="69"/>
      <c r="I541" s="69"/>
      <c r="J541" s="69"/>
      <c r="K541" t="str">
        <f t="shared" si="50"/>
        <v>Not a Lease</v>
      </c>
      <c r="L541" s="69"/>
      <c r="M541" s="69"/>
      <c r="N541" s="69"/>
      <c r="O541" s="69"/>
      <c r="P541" s="69"/>
      <c r="Q541" s="69"/>
      <c r="R541" s="69"/>
      <c r="S541" s="69"/>
      <c r="T541" s="69"/>
      <c r="U541" s="69"/>
      <c r="V541" s="69"/>
      <c r="W541" s="69"/>
      <c r="X541" s="69"/>
      <c r="Y541" s="69"/>
      <c r="Z541">
        <f t="shared" si="48"/>
        <v>0</v>
      </c>
      <c r="AA541">
        <f t="shared" si="51"/>
        <v>0</v>
      </c>
      <c r="AB541">
        <f t="shared" si="52"/>
        <v>0</v>
      </c>
      <c r="AC541">
        <f>+IF(Table3[[#This Row],[Do Both Parties have to agree for extension to occur?]]="Yes",0,IF(AND(W541="Yes",Q541="Yes"),IF(R541=X541,R541,MAX(R541,X541)),IF(AND(W541="Yes",OR(Q541="No",Q541="")),X541,IF(AND(OR(W541="No",W541=""),Q541="Yes"),R541,0))))</f>
        <v>0</v>
      </c>
      <c r="AD541" s="69"/>
      <c r="AE541" s="69"/>
      <c r="AF541" t="str">
        <f>IF(AD541="Monthly",Table3[[#This Row],[Assessed Term]]*12,IF(AD541="quarterly",Table3[[#This Row],[Assessed Term]]*4,IF(AD541="annually",Table3[[#This Row],[Assessed Term]]*1,IF(AD541="weekly",Table3[[#This Row],[Assessed Term]]*52,IF(AD541="semiannually",Table3[[#This Row],[Assessed Term]]*2," ")))))</f>
        <v xml:space="preserve"> </v>
      </c>
      <c r="AG541" s="69"/>
      <c r="AH541" s="69"/>
      <c r="AI541" s="73"/>
      <c r="AJ541" s="73"/>
      <c r="AK541" s="73"/>
      <c r="AL541" s="69"/>
      <c r="AM541" s="69"/>
      <c r="AN541" s="120"/>
      <c r="AO541" s="76" t="b">
        <f>IF(K541 = "Lease",+PV(AN541/(AF541/Table3[[#This Row],[Assessed Term]]),AF541,-AI541,0,IF(AE541="Beginning",1,0)))</f>
        <v>0</v>
      </c>
      <c r="AP541" s="69"/>
      <c r="AQ541" s="76">
        <f t="shared" si="49"/>
        <v>0</v>
      </c>
      <c r="AR541" s="72"/>
    </row>
    <row r="542" spans="1:44">
      <c r="A542" s="69"/>
      <c r="B542" s="70"/>
      <c r="C542" s="69"/>
      <c r="D542" s="69"/>
      <c r="E542" s="69"/>
      <c r="F542" s="69"/>
      <c r="G542" s="69"/>
      <c r="H542" s="69"/>
      <c r="I542" s="69"/>
      <c r="J542" s="69"/>
      <c r="K542" t="str">
        <f t="shared" si="50"/>
        <v>Not a Lease</v>
      </c>
      <c r="L542" s="69"/>
      <c r="M542" s="69"/>
      <c r="N542" s="69"/>
      <c r="O542" s="69"/>
      <c r="P542" s="69"/>
      <c r="Q542" s="69"/>
      <c r="R542" s="69"/>
      <c r="S542" s="69"/>
      <c r="T542" s="69"/>
      <c r="U542" s="69"/>
      <c r="V542" s="69"/>
      <c r="W542" s="69"/>
      <c r="X542" s="69"/>
      <c r="Y542" s="69"/>
      <c r="Z542">
        <f t="shared" si="48"/>
        <v>0</v>
      </c>
      <c r="AA542">
        <f t="shared" si="51"/>
        <v>0</v>
      </c>
      <c r="AB542">
        <f t="shared" si="52"/>
        <v>0</v>
      </c>
      <c r="AC542">
        <f>+IF(Table3[[#This Row],[Do Both Parties have to agree for extension to occur?]]="Yes",0,IF(AND(W542="Yes",Q542="Yes"),IF(R542=X542,R542,MAX(R542,X542)),IF(AND(W542="Yes",OR(Q542="No",Q542="")),X542,IF(AND(OR(W542="No",W542=""),Q542="Yes"),R542,0))))</f>
        <v>0</v>
      </c>
      <c r="AD542" s="69"/>
      <c r="AE542" s="69"/>
      <c r="AF542" t="str">
        <f>IF(AD542="Monthly",Table3[[#This Row],[Assessed Term]]*12,IF(AD542="quarterly",Table3[[#This Row],[Assessed Term]]*4,IF(AD542="annually",Table3[[#This Row],[Assessed Term]]*1,IF(AD542="weekly",Table3[[#This Row],[Assessed Term]]*52,IF(AD542="semiannually",Table3[[#This Row],[Assessed Term]]*2," ")))))</f>
        <v xml:space="preserve"> </v>
      </c>
      <c r="AG542" s="69"/>
      <c r="AH542" s="69"/>
      <c r="AI542" s="73"/>
      <c r="AJ542" s="73"/>
      <c r="AK542" s="73"/>
      <c r="AL542" s="69"/>
      <c r="AM542" s="69"/>
      <c r="AN542" s="120"/>
      <c r="AO542" s="76" t="b">
        <f>IF(K542 = "Lease",+PV(AN542/(AF542/Table3[[#This Row],[Assessed Term]]),AF542,-AI542,0,IF(AE542="Beginning",1,0)))</f>
        <v>0</v>
      </c>
      <c r="AP542" s="69"/>
      <c r="AQ542" s="76">
        <f t="shared" si="49"/>
        <v>0</v>
      </c>
      <c r="AR542" s="72"/>
    </row>
    <row r="543" spans="1:44">
      <c r="A543" s="69"/>
      <c r="B543" s="70"/>
      <c r="C543" s="69"/>
      <c r="D543" s="69"/>
      <c r="E543" s="69"/>
      <c r="F543" s="69"/>
      <c r="G543" s="69"/>
      <c r="H543" s="69"/>
      <c r="I543" s="69"/>
      <c r="J543" s="69"/>
      <c r="K543" t="str">
        <f t="shared" si="50"/>
        <v>Not a Lease</v>
      </c>
      <c r="L543" s="69"/>
      <c r="M543" s="69"/>
      <c r="N543" s="69"/>
      <c r="O543" s="69"/>
      <c r="P543" s="69"/>
      <c r="Q543" s="69"/>
      <c r="R543" s="69"/>
      <c r="S543" s="69"/>
      <c r="T543" s="69"/>
      <c r="U543" s="69"/>
      <c r="V543" s="69"/>
      <c r="W543" s="69"/>
      <c r="X543" s="69"/>
      <c r="Y543" s="69"/>
      <c r="Z543">
        <f t="shared" si="48"/>
        <v>0</v>
      </c>
      <c r="AA543">
        <f t="shared" si="51"/>
        <v>0</v>
      </c>
      <c r="AB543">
        <f t="shared" si="52"/>
        <v>0</v>
      </c>
      <c r="AC543">
        <f>+IF(Table3[[#This Row],[Do Both Parties have to agree for extension to occur?]]="Yes",0,IF(AND(W543="Yes",Q543="Yes"),IF(R543=X543,R543,MAX(R543,X543)),IF(AND(W543="Yes",OR(Q543="No",Q543="")),X543,IF(AND(OR(W543="No",W543=""),Q543="Yes"),R543,0))))</f>
        <v>0</v>
      </c>
      <c r="AD543" s="69"/>
      <c r="AE543" s="69"/>
      <c r="AF543" t="str">
        <f>IF(AD543="Monthly",Table3[[#This Row],[Assessed Term]]*12,IF(AD543="quarterly",Table3[[#This Row],[Assessed Term]]*4,IF(AD543="annually",Table3[[#This Row],[Assessed Term]]*1,IF(AD543="weekly",Table3[[#This Row],[Assessed Term]]*52,IF(AD543="semiannually",Table3[[#This Row],[Assessed Term]]*2," ")))))</f>
        <v xml:space="preserve"> </v>
      </c>
      <c r="AG543" s="69"/>
      <c r="AH543" s="69"/>
      <c r="AI543" s="73"/>
      <c r="AJ543" s="73"/>
      <c r="AK543" s="73"/>
      <c r="AL543" s="69"/>
      <c r="AM543" s="69"/>
      <c r="AN543" s="120"/>
      <c r="AO543" s="76" t="b">
        <f>IF(K543 = "Lease",+PV(AN543/(AF543/Table3[[#This Row],[Assessed Term]]),AF543,-AI543,0,IF(AE543="Beginning",1,0)))</f>
        <v>0</v>
      </c>
      <c r="AP543" s="69"/>
      <c r="AQ543" s="76">
        <f t="shared" si="49"/>
        <v>0</v>
      </c>
      <c r="AR543" s="72"/>
    </row>
    <row r="544" spans="1:44">
      <c r="A544" s="69"/>
      <c r="B544" s="70"/>
      <c r="C544" s="69"/>
      <c r="D544" s="69"/>
      <c r="E544" s="69"/>
      <c r="F544" s="69"/>
      <c r="G544" s="69"/>
      <c r="H544" s="69"/>
      <c r="I544" s="69"/>
      <c r="J544" s="69"/>
      <c r="K544" t="str">
        <f t="shared" si="50"/>
        <v>Not a Lease</v>
      </c>
      <c r="L544" s="69"/>
      <c r="M544" s="69"/>
      <c r="N544" s="69"/>
      <c r="O544" s="69"/>
      <c r="P544" s="69"/>
      <c r="Q544" s="69"/>
      <c r="R544" s="69"/>
      <c r="S544" s="69"/>
      <c r="T544" s="69"/>
      <c r="U544" s="69"/>
      <c r="V544" s="69"/>
      <c r="W544" s="69"/>
      <c r="X544" s="69"/>
      <c r="Y544" s="69"/>
      <c r="Z544">
        <f t="shared" si="48"/>
        <v>0</v>
      </c>
      <c r="AA544">
        <f t="shared" si="51"/>
        <v>0</v>
      </c>
      <c r="AB544">
        <f t="shared" si="52"/>
        <v>0</v>
      </c>
      <c r="AC544">
        <f>+IF(Table3[[#This Row],[Do Both Parties have to agree for extension to occur?]]="Yes",0,IF(AND(W544="Yes",Q544="Yes"),IF(R544=X544,R544,MAX(R544,X544)),IF(AND(W544="Yes",OR(Q544="No",Q544="")),X544,IF(AND(OR(W544="No",W544=""),Q544="Yes"),R544,0))))</f>
        <v>0</v>
      </c>
      <c r="AD544" s="69"/>
      <c r="AE544" s="69"/>
      <c r="AF544" t="str">
        <f>IF(AD544="Monthly",Table3[[#This Row],[Assessed Term]]*12,IF(AD544="quarterly",Table3[[#This Row],[Assessed Term]]*4,IF(AD544="annually",Table3[[#This Row],[Assessed Term]]*1,IF(AD544="weekly",Table3[[#This Row],[Assessed Term]]*52,IF(AD544="semiannually",Table3[[#This Row],[Assessed Term]]*2," ")))))</f>
        <v xml:space="preserve"> </v>
      </c>
      <c r="AG544" s="69"/>
      <c r="AH544" s="69"/>
      <c r="AI544" s="73"/>
      <c r="AJ544" s="73"/>
      <c r="AK544" s="73"/>
      <c r="AL544" s="69"/>
      <c r="AM544" s="69"/>
      <c r="AN544" s="120"/>
      <c r="AO544" s="76" t="b">
        <f>IF(K544 = "Lease",+PV(AN544/(AF544/Table3[[#This Row],[Assessed Term]]),AF544,-AI544,0,IF(AE544="Beginning",1,0)))</f>
        <v>0</v>
      </c>
      <c r="AP544" s="69"/>
      <c r="AQ544" s="76">
        <f t="shared" si="49"/>
        <v>0</v>
      </c>
      <c r="AR544" s="72"/>
    </row>
    <row r="545" spans="1:44">
      <c r="A545" s="69"/>
      <c r="B545" s="70"/>
      <c r="C545" s="69"/>
      <c r="D545" s="69"/>
      <c r="E545" s="69"/>
      <c r="F545" s="69"/>
      <c r="G545" s="69"/>
      <c r="H545" s="69"/>
      <c r="I545" s="69"/>
      <c r="J545" s="69"/>
      <c r="K545" t="str">
        <f t="shared" si="50"/>
        <v>Not a Lease</v>
      </c>
      <c r="L545" s="69"/>
      <c r="M545" s="69"/>
      <c r="N545" s="69"/>
      <c r="O545" s="69"/>
      <c r="P545" s="69"/>
      <c r="Q545" s="69"/>
      <c r="R545" s="69"/>
      <c r="S545" s="69"/>
      <c r="T545" s="69"/>
      <c r="U545" s="69"/>
      <c r="V545" s="69"/>
      <c r="W545" s="69"/>
      <c r="X545" s="69"/>
      <c r="Y545" s="69"/>
      <c r="Z545">
        <f t="shared" ref="Z545:Z550" si="53">+IF(AB545=0,AA545+AC545,AB545)</f>
        <v>0</v>
      </c>
      <c r="AA545">
        <f t="shared" si="51"/>
        <v>0</v>
      </c>
      <c r="AB545">
        <f t="shared" si="52"/>
        <v>0</v>
      </c>
      <c r="AC545">
        <f>+IF(Table3[[#This Row],[Do Both Parties have to agree for extension to occur?]]="Yes",0,IF(AND(W545="Yes",Q545="Yes"),IF(R545=X545,R545,MAX(R545,X545)),IF(AND(W545="Yes",OR(Q545="No",Q545="")),X545,IF(AND(OR(W545="No",W545=""),Q545="Yes"),R545,0))))</f>
        <v>0</v>
      </c>
      <c r="AD545" s="69"/>
      <c r="AE545" s="69"/>
      <c r="AF545" t="str">
        <f>IF(AD545="Monthly",Table3[[#This Row],[Assessed Term]]*12,IF(AD545="quarterly",Table3[[#This Row],[Assessed Term]]*4,IF(AD545="annually",Table3[[#This Row],[Assessed Term]]*1,IF(AD545="weekly",Table3[[#This Row],[Assessed Term]]*52,IF(AD545="semiannually",Table3[[#This Row],[Assessed Term]]*2," ")))))</f>
        <v xml:space="preserve"> </v>
      </c>
      <c r="AG545" s="69"/>
      <c r="AH545" s="69"/>
      <c r="AI545" s="73"/>
      <c r="AJ545" s="73"/>
      <c r="AK545" s="73"/>
      <c r="AL545" s="69"/>
      <c r="AM545" s="69"/>
      <c r="AN545" s="120"/>
      <c r="AO545" s="76" t="b">
        <f>IF(K545 = "Lease",+PV(AN545/(AF545/Table3[[#This Row],[Assessed Term]]),AF545,-AI545,0,IF(AE545="Beginning",1,0)))</f>
        <v>0</v>
      </c>
      <c r="AP545" s="69"/>
      <c r="AQ545" s="76">
        <f t="shared" ref="AQ545:AQ550" si="54">+IF(AP545 = "no",AO545,0)</f>
        <v>0</v>
      </c>
      <c r="AR545" s="72"/>
    </row>
    <row r="546" spans="1:44">
      <c r="A546" s="69"/>
      <c r="B546" s="70"/>
      <c r="C546" s="69"/>
      <c r="D546" s="69"/>
      <c r="E546" s="69"/>
      <c r="F546" s="69"/>
      <c r="G546" s="69"/>
      <c r="H546" s="69"/>
      <c r="I546" s="69"/>
      <c r="J546" s="69"/>
      <c r="K546" t="str">
        <f t="shared" si="50"/>
        <v>Not a Lease</v>
      </c>
      <c r="L546" s="69"/>
      <c r="M546" s="69"/>
      <c r="N546" s="69"/>
      <c r="O546" s="69"/>
      <c r="P546" s="69"/>
      <c r="Q546" s="69"/>
      <c r="R546" s="69"/>
      <c r="S546" s="69"/>
      <c r="T546" s="69"/>
      <c r="U546" s="69"/>
      <c r="V546" s="69"/>
      <c r="W546" s="69"/>
      <c r="X546" s="69"/>
      <c r="Y546" s="69"/>
      <c r="Z546">
        <f t="shared" si="53"/>
        <v>0</v>
      </c>
      <c r="AA546">
        <f t="shared" si="51"/>
        <v>0</v>
      </c>
      <c r="AB546">
        <f t="shared" si="52"/>
        <v>0</v>
      </c>
      <c r="AC546">
        <f>+IF(Table3[[#This Row],[Do Both Parties have to agree for extension to occur?]]="Yes",0,IF(AND(W546="Yes",Q546="Yes"),IF(R546=X546,R546,MAX(R546,X546)),IF(AND(W546="Yes",OR(Q546="No",Q546="")),X546,IF(AND(OR(W546="No",W546=""),Q546="Yes"),R546,0))))</f>
        <v>0</v>
      </c>
      <c r="AD546" s="69"/>
      <c r="AE546" s="69"/>
      <c r="AF546" t="str">
        <f>IF(AD546="Monthly",Table3[[#This Row],[Assessed Term]]*12,IF(AD546="quarterly",Table3[[#This Row],[Assessed Term]]*4,IF(AD546="annually",Table3[[#This Row],[Assessed Term]]*1,IF(AD546="weekly",Table3[[#This Row],[Assessed Term]]*52,IF(AD546="semiannually",Table3[[#This Row],[Assessed Term]]*2," ")))))</f>
        <v xml:space="preserve"> </v>
      </c>
      <c r="AG546" s="69"/>
      <c r="AH546" s="69"/>
      <c r="AI546" s="73"/>
      <c r="AJ546" s="73"/>
      <c r="AK546" s="73"/>
      <c r="AL546" s="69"/>
      <c r="AM546" s="69"/>
      <c r="AN546" s="120"/>
      <c r="AO546" s="76" t="b">
        <f>IF(K546 = "Lease",+PV(AN546/(AF546/Table3[[#This Row],[Assessed Term]]),AF546,-AI546,0,IF(AE546="Beginning",1,0)))</f>
        <v>0</v>
      </c>
      <c r="AP546" s="69"/>
      <c r="AQ546" s="76">
        <f t="shared" si="54"/>
        <v>0</v>
      </c>
      <c r="AR546" s="72"/>
    </row>
    <row r="547" spans="1:44">
      <c r="A547" s="69"/>
      <c r="B547" s="70"/>
      <c r="C547" s="69"/>
      <c r="D547" s="69"/>
      <c r="E547" s="69"/>
      <c r="F547" s="69"/>
      <c r="G547" s="69"/>
      <c r="H547" s="69"/>
      <c r="I547" s="69"/>
      <c r="J547" s="69"/>
      <c r="K547" t="str">
        <f t="shared" si="50"/>
        <v>Not a Lease</v>
      </c>
      <c r="L547" s="69"/>
      <c r="M547" s="69"/>
      <c r="N547" s="69"/>
      <c r="O547" s="69"/>
      <c r="P547" s="69"/>
      <c r="Q547" s="69"/>
      <c r="R547" s="69"/>
      <c r="S547" s="69"/>
      <c r="T547" s="69"/>
      <c r="U547" s="69"/>
      <c r="V547" s="69"/>
      <c r="W547" s="69"/>
      <c r="X547" s="69"/>
      <c r="Y547" s="69"/>
      <c r="Z547">
        <f t="shared" si="53"/>
        <v>0</v>
      </c>
      <c r="AA547">
        <f t="shared" si="51"/>
        <v>0</v>
      </c>
      <c r="AB547">
        <f t="shared" si="52"/>
        <v>0</v>
      </c>
      <c r="AC547">
        <f>+IF(Table3[[#This Row],[Do Both Parties have to agree for extension to occur?]]="Yes",0,IF(AND(W547="Yes",Q547="Yes"),IF(R547=X547,R547,MAX(R547,X547)),IF(AND(W547="Yes",OR(Q547="No",Q547="")),X547,IF(AND(OR(W547="No",W547=""),Q547="Yes"),R547,0))))</f>
        <v>0</v>
      </c>
      <c r="AD547" s="69"/>
      <c r="AE547" s="69"/>
      <c r="AF547" t="str">
        <f>IF(AD547="Monthly",Table3[[#This Row],[Assessed Term]]*12,IF(AD547="quarterly",Table3[[#This Row],[Assessed Term]]*4,IF(AD547="annually",Table3[[#This Row],[Assessed Term]]*1,IF(AD547="weekly",Table3[[#This Row],[Assessed Term]]*52,IF(AD547="semiannually",Table3[[#This Row],[Assessed Term]]*2," ")))))</f>
        <v xml:space="preserve"> </v>
      </c>
      <c r="AG547" s="69"/>
      <c r="AH547" s="69"/>
      <c r="AI547" s="73"/>
      <c r="AJ547" s="73"/>
      <c r="AK547" s="73"/>
      <c r="AL547" s="69"/>
      <c r="AM547" s="69"/>
      <c r="AN547" s="120"/>
      <c r="AO547" s="76" t="b">
        <f>IF(K547 = "Lease",+PV(AN547/(AF547/Table3[[#This Row],[Assessed Term]]),AF547,-AI547,0,IF(AE547="Beginning",1,0)))</f>
        <v>0</v>
      </c>
      <c r="AP547" s="69"/>
      <c r="AQ547" s="76">
        <f t="shared" si="54"/>
        <v>0</v>
      </c>
      <c r="AR547" s="72"/>
    </row>
    <row r="548" spans="1:44">
      <c r="A548" s="69"/>
      <c r="B548" s="70"/>
      <c r="C548" s="69"/>
      <c r="D548" s="69"/>
      <c r="E548" s="69"/>
      <c r="F548" s="69"/>
      <c r="G548" s="69"/>
      <c r="H548" s="69"/>
      <c r="I548" s="69"/>
      <c r="J548" s="69"/>
      <c r="K548" t="str">
        <f t="shared" si="50"/>
        <v>Not a Lease</v>
      </c>
      <c r="L548" s="69"/>
      <c r="M548" s="69"/>
      <c r="N548" s="69"/>
      <c r="O548" s="69"/>
      <c r="P548" s="69"/>
      <c r="Q548" s="69"/>
      <c r="R548" s="69"/>
      <c r="S548" s="69"/>
      <c r="T548" s="69"/>
      <c r="U548" s="69"/>
      <c r="V548" s="69"/>
      <c r="W548" s="69"/>
      <c r="X548" s="69"/>
      <c r="Y548" s="69"/>
      <c r="Z548">
        <f t="shared" si="53"/>
        <v>0</v>
      </c>
      <c r="AA548">
        <f t="shared" si="51"/>
        <v>0</v>
      </c>
      <c r="AB548">
        <f t="shared" si="52"/>
        <v>0</v>
      </c>
      <c r="AC548">
        <f>+IF(Table3[[#This Row],[Do Both Parties have to agree for extension to occur?]]="Yes",0,IF(AND(W548="Yes",Q548="Yes"),IF(R548=X548,R548,MAX(R548,X548)),IF(AND(W548="Yes",OR(Q548="No",Q548="")),X548,IF(AND(OR(W548="No",W548=""),Q548="Yes"),R548,0))))</f>
        <v>0</v>
      </c>
      <c r="AD548" s="69"/>
      <c r="AE548" s="69"/>
      <c r="AF548" t="str">
        <f>IF(AD548="Monthly",Table3[[#This Row],[Assessed Term]]*12,IF(AD548="quarterly",Table3[[#This Row],[Assessed Term]]*4,IF(AD548="annually",Table3[[#This Row],[Assessed Term]]*1,IF(AD548="weekly",Table3[[#This Row],[Assessed Term]]*52,IF(AD548="semiannually",Table3[[#This Row],[Assessed Term]]*2," ")))))</f>
        <v xml:space="preserve"> </v>
      </c>
      <c r="AG548" s="69"/>
      <c r="AH548" s="69"/>
      <c r="AI548" s="73"/>
      <c r="AJ548" s="73"/>
      <c r="AK548" s="73"/>
      <c r="AL548" s="69"/>
      <c r="AM548" s="69"/>
      <c r="AN548" s="120"/>
      <c r="AO548" s="76" t="b">
        <f>IF(K548 = "Lease",+PV(AN548/(AF548/Table3[[#This Row],[Assessed Term]]),AF548,-AI548,0,IF(AE548="Beginning",1,0)))</f>
        <v>0</v>
      </c>
      <c r="AP548" s="69"/>
      <c r="AQ548" s="76">
        <f t="shared" si="54"/>
        <v>0</v>
      </c>
      <c r="AR548" s="72"/>
    </row>
    <row r="549" spans="1:44">
      <c r="A549" s="69"/>
      <c r="B549" s="70"/>
      <c r="C549" s="69"/>
      <c r="D549" s="69"/>
      <c r="E549" s="69"/>
      <c r="F549" s="69"/>
      <c r="G549" s="69"/>
      <c r="H549" s="69"/>
      <c r="I549" s="69"/>
      <c r="J549" s="69"/>
      <c r="K549" t="str">
        <f t="shared" si="50"/>
        <v>Not a Lease</v>
      </c>
      <c r="L549" s="69"/>
      <c r="M549" s="69"/>
      <c r="N549" s="69"/>
      <c r="O549" s="69"/>
      <c r="P549" s="69"/>
      <c r="Q549" s="69"/>
      <c r="R549" s="69"/>
      <c r="S549" s="69"/>
      <c r="T549" s="69"/>
      <c r="U549" s="69"/>
      <c r="V549" s="69"/>
      <c r="W549" s="69"/>
      <c r="X549" s="69"/>
      <c r="Y549" s="69"/>
      <c r="Z549">
        <f t="shared" si="53"/>
        <v>0</v>
      </c>
      <c r="AA549">
        <f t="shared" si="51"/>
        <v>0</v>
      </c>
      <c r="AB549">
        <f t="shared" si="52"/>
        <v>0</v>
      </c>
      <c r="AC549">
        <f>+IF(Table3[[#This Row],[Do Both Parties have to agree for extension to occur?]]="Yes",0,IF(AND(W549="Yes",Q549="Yes"),IF(R549=X549,R549,MAX(R549,X549)),IF(AND(W549="Yes",OR(Q549="No",Q549="")),X549,IF(AND(OR(W549="No",W549=""),Q549="Yes"),R549,0))))</f>
        <v>0</v>
      </c>
      <c r="AD549" s="69"/>
      <c r="AE549" s="69"/>
      <c r="AF549" t="str">
        <f>IF(AD549="Monthly",Table3[[#This Row],[Assessed Term]]*12,IF(AD549="quarterly",Table3[[#This Row],[Assessed Term]]*4,IF(AD549="annually",Table3[[#This Row],[Assessed Term]]*1,IF(AD549="weekly",Table3[[#This Row],[Assessed Term]]*52,IF(AD549="semiannually",Table3[[#This Row],[Assessed Term]]*2," ")))))</f>
        <v xml:space="preserve"> </v>
      </c>
      <c r="AG549" s="69"/>
      <c r="AH549" s="69"/>
      <c r="AI549" s="73"/>
      <c r="AJ549" s="73"/>
      <c r="AK549" s="73"/>
      <c r="AL549" s="69"/>
      <c r="AM549" s="69"/>
      <c r="AN549" s="120"/>
      <c r="AO549" s="76" t="b">
        <f>IF(K549 = "Lease",+PV(AN549/(AF549/Table3[[#This Row],[Assessed Term]]),AF549,-AI549,0,IF(AE549="Beginning",1,0)))</f>
        <v>0</v>
      </c>
      <c r="AP549" s="69"/>
      <c r="AQ549" s="76">
        <f t="shared" si="54"/>
        <v>0</v>
      </c>
      <c r="AR549" s="72"/>
    </row>
    <row r="550" spans="1:44">
      <c r="A550" s="69"/>
      <c r="B550" s="70"/>
      <c r="C550" s="69"/>
      <c r="D550" s="69"/>
      <c r="E550" s="69"/>
      <c r="F550" s="69"/>
      <c r="G550" s="69"/>
      <c r="H550" s="69"/>
      <c r="I550" s="69"/>
      <c r="J550" s="69"/>
      <c r="K550" t="str">
        <f t="shared" si="50"/>
        <v>Not a Lease</v>
      </c>
      <c r="L550" s="69"/>
      <c r="M550" s="69"/>
      <c r="N550" s="69"/>
      <c r="O550" s="69"/>
      <c r="P550" s="69"/>
      <c r="Q550" s="69"/>
      <c r="R550" s="69"/>
      <c r="S550" s="69"/>
      <c r="T550" s="69"/>
      <c r="U550" s="69"/>
      <c r="V550" s="69"/>
      <c r="W550" s="69"/>
      <c r="X550" s="69"/>
      <c r="Y550" s="69"/>
      <c r="Z550">
        <f t="shared" si="53"/>
        <v>0</v>
      </c>
      <c r="AA550">
        <f t="shared" si="51"/>
        <v>0</v>
      </c>
      <c r="AB550">
        <f t="shared" si="52"/>
        <v>0</v>
      </c>
      <c r="AC550">
        <f>+IF(Table3[[#This Row],[Do Both Parties have to agree for extension to occur?]]="Yes",0,IF(AND(W550="Yes",Q550="Yes"),IF(R550=X550,R550,MAX(R550,X550)),IF(AND(W550="Yes",OR(Q550="No",Q550="")),X550,IF(AND(OR(W550="No",W550=""),Q550="Yes"),R550,0))))</f>
        <v>0</v>
      </c>
      <c r="AD550" s="69"/>
      <c r="AE550" s="69"/>
      <c r="AF550" t="str">
        <f>IF(AD550="Monthly",Table3[[#This Row],[Assessed Term]]*12,IF(AD550="quarterly",Table3[[#This Row],[Assessed Term]]*4,IF(AD550="annually",Table3[[#This Row],[Assessed Term]]*1,IF(AD550="weekly",Table3[[#This Row],[Assessed Term]]*52,IF(AD550="semiannually",Table3[[#This Row],[Assessed Term]]*2," ")))))</f>
        <v xml:space="preserve"> </v>
      </c>
      <c r="AG550" s="69"/>
      <c r="AH550" s="69"/>
      <c r="AI550" s="73"/>
      <c r="AJ550" s="73"/>
      <c r="AK550" s="73"/>
      <c r="AL550" s="69"/>
      <c r="AM550" s="69"/>
      <c r="AN550" s="120"/>
      <c r="AO550" s="76" t="b">
        <f>IF(K550 = "Lease",+PV(AN550/(AF550/Table3[[#This Row],[Assessed Term]]),AF550,-AI550,0,IF(AE550="Beginning",1,0)))</f>
        <v>0</v>
      </c>
      <c r="AP550" s="69"/>
      <c r="AQ550" s="76">
        <f t="shared" si="54"/>
        <v>0</v>
      </c>
      <c r="AR550" s="72"/>
    </row>
  </sheetData>
  <sheetProtection password="83AF" sheet="1" objects="1" scenarios="1"/>
  <mergeCells count="6">
    <mergeCell ref="AU6:AX7"/>
    <mergeCell ref="B1:C1"/>
    <mergeCell ref="M2:R2"/>
    <mergeCell ref="S2:X2"/>
    <mergeCell ref="M1:X1"/>
    <mergeCell ref="AU1:AV1"/>
  </mergeCells>
  <dataValidations count="8">
    <dataValidation type="list" allowBlank="1" showInputMessage="1" showErrorMessage="1" sqref="M4:N100 V4:W100 P4:Q100 S4:T100 F4:F100 AJ4:AJ550 AP4:AP550 AG4:AG100 G4:J1010" xr:uid="{00000000-0002-0000-0000-000000000000}">
      <formula1>"Yes, No"</formula1>
    </dataValidation>
    <dataValidation type="list" allowBlank="1" showInputMessage="1" showErrorMessage="1" sqref="C4:C100" xr:uid="{00000000-0002-0000-0000-000001000000}">
      <formula1>"Lessee, Lessor"</formula1>
    </dataValidation>
    <dataValidation type="list" allowBlank="1" showInputMessage="1" showErrorMessage="1" sqref="AL4:AL100" xr:uid="{00000000-0002-0000-0000-000002000000}">
      <formula1>"Stated in Agreement, Imputed"</formula1>
    </dataValidation>
    <dataValidation type="list" allowBlank="1" showInputMessage="1" showErrorMessage="1" sqref="D4:D550" xr:uid="{00000000-0002-0000-0000-000003000000}">
      <formula1>"Governmental, BTA"</formula1>
    </dataValidation>
    <dataValidation allowBlank="1" showDropDown="1" showInputMessage="1" showErrorMessage="1" sqref="AK4:AK550" xr:uid="{00000000-0002-0000-0000-000004000000}"/>
    <dataValidation type="list" allowBlank="1" showInputMessage="1" showErrorMessage="1" sqref="AE4:AE550" xr:uid="{00000000-0002-0000-0000-000005000000}">
      <formula1>"Beginning, End"</formula1>
    </dataValidation>
    <dataValidation type="list" allowBlank="1" showInputMessage="1" showErrorMessage="1" sqref="AD4:AD550" xr:uid="{00000000-0002-0000-0000-000006000000}">
      <formula1>"Monthly, Quarterly, Semiannually, Annually, Weekly"</formula1>
    </dataValidation>
    <dataValidation type="list" allowBlank="1" showInputMessage="1" showErrorMessage="1" sqref="Y4:Y550" xr:uid="{00000000-0002-0000-0000-000007000000}">
      <formula1>"Yes,No"</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8000000}">
          <x14:formula1>
            <xm:f>'Asset Classes'!$A$2:$A$16</xm:f>
          </x14:formula1>
          <xm:sqref>E4:E5</xm:sqref>
        </x14:dataValidation>
        <x14:dataValidation type="list" allowBlank="1" showInputMessage="1" showErrorMessage="1" xr:uid="{00000000-0002-0000-0000-000009000000}">
          <x14:formula1>
            <xm:f>'Asset Classes'!$A$2:$A$19</xm:f>
          </x14:formula1>
          <xm:sqref>E6</xm:sqref>
        </x14:dataValidation>
        <x14:dataValidation type="list" allowBlank="1" showInputMessage="1" showErrorMessage="1" xr:uid="{00000000-0002-0000-0000-00000A000000}">
          <x14:formula1>
            <xm:f>'Asset Classes'!$A$2:$A$14</xm:f>
          </x14:formula1>
          <xm:sqref>E7:E550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U14"/>
  <sheetViews>
    <sheetView workbookViewId="0">
      <selection activeCell="A4" sqref="A4"/>
    </sheetView>
  </sheetViews>
  <sheetFormatPr defaultRowHeight="14.4"/>
  <cols>
    <col min="1" max="1" width="15.5546875" bestFit="1" customWidth="1"/>
    <col min="7" max="12" width="9.5546875" bestFit="1" customWidth="1"/>
    <col min="57" max="73" width="9.6640625" bestFit="1" customWidth="1"/>
  </cols>
  <sheetData>
    <row r="1" spans="1:73" ht="15.6">
      <c r="A1" s="125" t="s">
        <v>214</v>
      </c>
      <c r="B1" s="125"/>
      <c r="C1" s="126"/>
      <c r="G1" s="127"/>
      <c r="H1" s="127"/>
      <c r="I1" s="127"/>
      <c r="J1" s="127"/>
      <c r="K1" s="127"/>
    </row>
    <row r="2" spans="1:73">
      <c r="G2" s="128">
        <v>2022</v>
      </c>
      <c r="H2" s="128">
        <v>2023</v>
      </c>
      <c r="I2" s="128">
        <v>2024</v>
      </c>
      <c r="J2" s="128">
        <v>2025</v>
      </c>
      <c r="K2" s="128">
        <v>2026</v>
      </c>
      <c r="L2" s="128">
        <v>2027</v>
      </c>
      <c r="M2" s="128">
        <v>2028</v>
      </c>
      <c r="N2" s="128">
        <v>2029</v>
      </c>
      <c r="O2" s="128">
        <v>2030</v>
      </c>
      <c r="P2" s="128">
        <v>2031</v>
      </c>
      <c r="Q2" s="128">
        <v>2032</v>
      </c>
      <c r="R2" s="128">
        <v>2033</v>
      </c>
      <c r="S2" s="128">
        <v>2034</v>
      </c>
      <c r="T2" s="128">
        <v>2035</v>
      </c>
      <c r="U2" s="128">
        <v>2036</v>
      </c>
      <c r="V2" s="128">
        <v>2037</v>
      </c>
      <c r="W2" s="128">
        <v>2038</v>
      </c>
      <c r="X2" s="128">
        <v>2039</v>
      </c>
      <c r="Y2" s="128">
        <v>2040</v>
      </c>
      <c r="Z2" s="128">
        <v>2041</v>
      </c>
      <c r="AA2" s="128">
        <v>2042</v>
      </c>
      <c r="AB2" s="128">
        <v>2043</v>
      </c>
      <c r="AC2" s="128">
        <v>2044</v>
      </c>
      <c r="AD2" s="128">
        <v>2045</v>
      </c>
      <c r="AE2" s="128">
        <v>2046</v>
      </c>
      <c r="AF2" s="128">
        <v>2047</v>
      </c>
      <c r="AG2" s="128"/>
      <c r="AI2" s="128">
        <v>2022</v>
      </c>
      <c r="AJ2" s="128">
        <v>2023</v>
      </c>
      <c r="AK2" s="128">
        <v>2024</v>
      </c>
      <c r="AL2" s="128">
        <v>2025</v>
      </c>
      <c r="AM2" s="128">
        <v>2026</v>
      </c>
      <c r="AN2" s="128">
        <v>2027</v>
      </c>
      <c r="AO2" s="128">
        <v>2028</v>
      </c>
      <c r="AP2" s="128">
        <v>2029</v>
      </c>
      <c r="AQ2" s="128">
        <v>2030</v>
      </c>
      <c r="AR2" s="128">
        <v>2031</v>
      </c>
      <c r="AS2" s="128">
        <v>2032</v>
      </c>
      <c r="AT2" s="128">
        <v>2033</v>
      </c>
      <c r="AU2" s="128">
        <v>2034</v>
      </c>
      <c r="AV2" s="128">
        <v>2035</v>
      </c>
      <c r="AW2" s="128">
        <v>2036</v>
      </c>
      <c r="AX2" s="128">
        <v>2037</v>
      </c>
      <c r="AY2" s="128">
        <v>2038</v>
      </c>
      <c r="AZ2" s="128">
        <v>2039</v>
      </c>
      <c r="BA2" s="128">
        <v>2040</v>
      </c>
      <c r="BB2" s="128">
        <v>2041</v>
      </c>
      <c r="BC2" s="128">
        <v>2042</v>
      </c>
      <c r="BD2" s="128">
        <v>2043</v>
      </c>
      <c r="BE2" s="128">
        <v>2044</v>
      </c>
      <c r="BF2" s="128">
        <v>2045</v>
      </c>
      <c r="BG2" s="128">
        <v>2046</v>
      </c>
      <c r="BH2" s="128">
        <v>2047</v>
      </c>
      <c r="BI2" s="128">
        <v>2048</v>
      </c>
      <c r="BJ2" s="128">
        <v>2049</v>
      </c>
      <c r="BK2" s="128">
        <v>2050</v>
      </c>
      <c r="BL2" s="128">
        <v>2051</v>
      </c>
      <c r="BM2" s="128">
        <v>2052</v>
      </c>
      <c r="BN2" s="128">
        <v>2053</v>
      </c>
      <c r="BO2" s="128">
        <v>2054</v>
      </c>
      <c r="BP2" s="128">
        <v>2055</v>
      </c>
      <c r="BQ2" s="128">
        <v>2056</v>
      </c>
      <c r="BR2" s="128">
        <v>2057</v>
      </c>
      <c r="BS2" s="128">
        <v>2058</v>
      </c>
      <c r="BT2" s="128">
        <v>2059</v>
      </c>
      <c r="BU2" s="128">
        <v>2060</v>
      </c>
    </row>
    <row r="3" spans="1:73" ht="43.8" thickBot="1">
      <c r="A3" s="129" t="s">
        <v>215</v>
      </c>
      <c r="B3" s="129" t="s">
        <v>0</v>
      </c>
      <c r="C3" s="130" t="s">
        <v>216</v>
      </c>
      <c r="D3" s="130" t="s">
        <v>217</v>
      </c>
      <c r="E3" s="130" t="s">
        <v>218</v>
      </c>
      <c r="G3" s="131" t="s">
        <v>219</v>
      </c>
      <c r="H3" s="131" t="s">
        <v>219</v>
      </c>
      <c r="I3" s="131" t="s">
        <v>219</v>
      </c>
      <c r="J3" s="131" t="s">
        <v>219</v>
      </c>
      <c r="K3" s="131" t="s">
        <v>219</v>
      </c>
      <c r="L3" s="131" t="s">
        <v>219</v>
      </c>
      <c r="M3" s="131" t="s">
        <v>219</v>
      </c>
      <c r="N3" s="131" t="s">
        <v>219</v>
      </c>
      <c r="O3" s="131" t="s">
        <v>219</v>
      </c>
      <c r="P3" s="131" t="s">
        <v>219</v>
      </c>
      <c r="Q3" s="131" t="s">
        <v>219</v>
      </c>
      <c r="R3" s="131" t="s">
        <v>219</v>
      </c>
      <c r="S3" s="131" t="s">
        <v>219</v>
      </c>
      <c r="T3" s="131" t="s">
        <v>219</v>
      </c>
      <c r="U3" s="131" t="s">
        <v>219</v>
      </c>
      <c r="V3" s="131" t="s">
        <v>219</v>
      </c>
      <c r="W3" s="131" t="s">
        <v>219</v>
      </c>
      <c r="X3" s="131" t="s">
        <v>219</v>
      </c>
      <c r="Y3" s="131" t="s">
        <v>219</v>
      </c>
      <c r="Z3" s="131" t="s">
        <v>219</v>
      </c>
      <c r="AA3" s="131" t="s">
        <v>219</v>
      </c>
      <c r="AB3" s="131" t="s">
        <v>219</v>
      </c>
      <c r="AC3" s="131" t="s">
        <v>219</v>
      </c>
      <c r="AD3" s="131" t="s">
        <v>219</v>
      </c>
      <c r="AE3" s="131" t="s">
        <v>219</v>
      </c>
      <c r="AF3" s="131" t="s">
        <v>219</v>
      </c>
      <c r="AG3" s="132"/>
      <c r="AI3" s="130" t="s">
        <v>220</v>
      </c>
      <c r="AJ3" s="130" t="s">
        <v>220</v>
      </c>
      <c r="AK3" s="130" t="s">
        <v>220</v>
      </c>
      <c r="AL3" s="130" t="s">
        <v>220</v>
      </c>
      <c r="AM3" s="130" t="s">
        <v>220</v>
      </c>
      <c r="AN3" s="130" t="s">
        <v>220</v>
      </c>
      <c r="AO3" s="130" t="s">
        <v>220</v>
      </c>
      <c r="AP3" s="130" t="s">
        <v>220</v>
      </c>
      <c r="AQ3" s="130" t="s">
        <v>220</v>
      </c>
      <c r="AR3" s="130" t="s">
        <v>220</v>
      </c>
      <c r="AS3" s="130" t="s">
        <v>220</v>
      </c>
      <c r="AT3" s="130" t="s">
        <v>220</v>
      </c>
      <c r="AU3" s="130" t="s">
        <v>220</v>
      </c>
      <c r="AV3" s="130" t="s">
        <v>220</v>
      </c>
      <c r="AW3" s="130" t="s">
        <v>220</v>
      </c>
      <c r="AX3" s="130" t="s">
        <v>220</v>
      </c>
      <c r="AY3" s="130" t="s">
        <v>220</v>
      </c>
      <c r="AZ3" s="130" t="s">
        <v>220</v>
      </c>
      <c r="BA3" s="130" t="s">
        <v>220</v>
      </c>
      <c r="BB3" s="130" t="s">
        <v>220</v>
      </c>
      <c r="BC3" s="130" t="s">
        <v>220</v>
      </c>
      <c r="BD3" s="130" t="s">
        <v>220</v>
      </c>
      <c r="BE3" s="130" t="s">
        <v>220</v>
      </c>
      <c r="BF3" s="130" t="s">
        <v>220</v>
      </c>
      <c r="BG3" s="130" t="s">
        <v>220</v>
      </c>
      <c r="BH3" s="130" t="s">
        <v>220</v>
      </c>
      <c r="BI3" s="130" t="s">
        <v>220</v>
      </c>
      <c r="BJ3" s="130" t="s">
        <v>220</v>
      </c>
      <c r="BK3" s="130" t="s">
        <v>220</v>
      </c>
      <c r="BL3" s="130" t="s">
        <v>220</v>
      </c>
      <c r="BM3" s="130" t="s">
        <v>220</v>
      </c>
      <c r="BN3" s="130" t="s">
        <v>220</v>
      </c>
      <c r="BO3" s="130" t="s">
        <v>220</v>
      </c>
      <c r="BP3" s="130" t="s">
        <v>220</v>
      </c>
      <c r="BQ3" s="130" t="s">
        <v>220</v>
      </c>
      <c r="BR3" s="130" t="s">
        <v>220</v>
      </c>
      <c r="BS3" s="130" t="s">
        <v>220</v>
      </c>
      <c r="BT3" s="130" t="s">
        <v>220</v>
      </c>
      <c r="BU3" s="130" t="s">
        <v>220</v>
      </c>
    </row>
    <row r="4" spans="1:73">
      <c r="A4" s="133">
        <v>0</v>
      </c>
      <c r="B4" s="134">
        <v>2022</v>
      </c>
      <c r="C4" s="135">
        <v>1</v>
      </c>
      <c r="D4" s="136">
        <v>1</v>
      </c>
      <c r="E4" s="135">
        <f>+ROUND(C4/D4,0)</f>
        <v>1</v>
      </c>
      <c r="F4" s="135"/>
      <c r="G4" s="137">
        <f>+E4</f>
        <v>1</v>
      </c>
      <c r="H4" s="138">
        <f t="shared" ref="H4:W10" si="0">IF(ABS($E4)&lt;ABS(AI4),$E4,AI4)</f>
        <v>0</v>
      </c>
      <c r="I4" s="138">
        <f t="shared" si="0"/>
        <v>0</v>
      </c>
      <c r="J4" s="138">
        <f t="shared" si="0"/>
        <v>0</v>
      </c>
      <c r="K4" s="138">
        <f t="shared" si="0"/>
        <v>0</v>
      </c>
      <c r="L4" s="139">
        <f t="shared" si="0"/>
        <v>0</v>
      </c>
      <c r="M4" s="139">
        <f t="shared" si="0"/>
        <v>0</v>
      </c>
      <c r="N4" s="139">
        <f t="shared" si="0"/>
        <v>0</v>
      </c>
      <c r="O4" s="139">
        <f t="shared" si="0"/>
        <v>0</v>
      </c>
      <c r="P4" s="139">
        <f t="shared" si="0"/>
        <v>0</v>
      </c>
      <c r="Q4" s="139">
        <f t="shared" si="0"/>
        <v>0</v>
      </c>
      <c r="R4" s="139">
        <f t="shared" si="0"/>
        <v>0</v>
      </c>
      <c r="S4" s="139">
        <f t="shared" si="0"/>
        <v>0</v>
      </c>
      <c r="T4" s="139">
        <f t="shared" si="0"/>
        <v>0</v>
      </c>
      <c r="U4" s="139">
        <f t="shared" si="0"/>
        <v>0</v>
      </c>
      <c r="V4" s="139">
        <f t="shared" si="0"/>
        <v>0</v>
      </c>
      <c r="W4" s="139">
        <f t="shared" si="0"/>
        <v>0</v>
      </c>
      <c r="X4" s="139">
        <f t="shared" ref="X4:AF10" si="1">IF(ABS($E4)&lt;ABS(AY4),$E4,AY4)</f>
        <v>0</v>
      </c>
      <c r="Y4" s="139">
        <f t="shared" si="1"/>
        <v>0</v>
      </c>
      <c r="Z4" s="139">
        <f t="shared" si="1"/>
        <v>0</v>
      </c>
      <c r="AA4" s="139">
        <f t="shared" si="1"/>
        <v>0</v>
      </c>
      <c r="AB4" s="139">
        <f t="shared" si="1"/>
        <v>0</v>
      </c>
      <c r="AC4" s="139">
        <f t="shared" si="1"/>
        <v>0</v>
      </c>
      <c r="AD4" s="139">
        <f t="shared" si="1"/>
        <v>0</v>
      </c>
      <c r="AE4" s="139">
        <f t="shared" si="1"/>
        <v>0</v>
      </c>
      <c r="AF4" s="139">
        <f t="shared" si="1"/>
        <v>0</v>
      </c>
      <c r="AG4" s="139"/>
      <c r="AH4" s="135"/>
      <c r="AI4" s="140">
        <f>C4-E4</f>
        <v>0</v>
      </c>
      <c r="AJ4" s="140">
        <f t="shared" ref="AJ4:AY10" si="2">+AI4-H4</f>
        <v>0</v>
      </c>
      <c r="AK4" s="135">
        <f t="shared" si="2"/>
        <v>0</v>
      </c>
      <c r="AL4" s="135">
        <f t="shared" si="2"/>
        <v>0</v>
      </c>
      <c r="AM4" s="135">
        <f t="shared" si="2"/>
        <v>0</v>
      </c>
      <c r="AN4" s="135">
        <f t="shared" si="2"/>
        <v>0</v>
      </c>
      <c r="AO4" s="135">
        <f t="shared" si="2"/>
        <v>0</v>
      </c>
      <c r="AP4" s="135">
        <f t="shared" si="2"/>
        <v>0</v>
      </c>
      <c r="AQ4" s="135">
        <f t="shared" si="2"/>
        <v>0</v>
      </c>
      <c r="AR4" s="135">
        <f t="shared" si="2"/>
        <v>0</v>
      </c>
      <c r="AS4" s="135">
        <f t="shared" si="2"/>
        <v>0</v>
      </c>
      <c r="AT4" s="135">
        <f t="shared" si="2"/>
        <v>0</v>
      </c>
      <c r="AU4" s="135">
        <f t="shared" si="2"/>
        <v>0</v>
      </c>
      <c r="AV4" s="135">
        <f t="shared" si="2"/>
        <v>0</v>
      </c>
      <c r="AW4" s="135">
        <f t="shared" si="2"/>
        <v>0</v>
      </c>
      <c r="AX4" s="135">
        <f t="shared" si="2"/>
        <v>0</v>
      </c>
      <c r="AY4" s="135">
        <f t="shared" si="2"/>
        <v>0</v>
      </c>
      <c r="AZ4" s="135">
        <f t="shared" ref="AT4:BD10" si="3">+AY4-X4</f>
        <v>0</v>
      </c>
      <c r="BA4" s="135">
        <f t="shared" si="3"/>
        <v>0</v>
      </c>
      <c r="BB4" s="135">
        <f t="shared" si="3"/>
        <v>0</v>
      </c>
      <c r="BC4" s="135">
        <f t="shared" si="3"/>
        <v>0</v>
      </c>
      <c r="BD4" s="135">
        <f t="shared" si="3"/>
        <v>0</v>
      </c>
      <c r="BE4" s="140">
        <v>0</v>
      </c>
      <c r="BF4" s="140">
        <v>0</v>
      </c>
      <c r="BG4" s="140">
        <v>0</v>
      </c>
      <c r="BH4" s="140">
        <v>0</v>
      </c>
      <c r="BI4" s="140">
        <v>0</v>
      </c>
      <c r="BJ4" s="140">
        <v>0</v>
      </c>
      <c r="BK4" s="140">
        <v>0</v>
      </c>
      <c r="BL4" s="140">
        <v>0</v>
      </c>
      <c r="BM4" s="140">
        <v>0</v>
      </c>
      <c r="BN4" s="140">
        <v>0</v>
      </c>
      <c r="BO4" s="140">
        <v>0</v>
      </c>
      <c r="BP4" s="140">
        <v>0</v>
      </c>
      <c r="BQ4" s="140">
        <v>0</v>
      </c>
      <c r="BR4" s="140">
        <v>0</v>
      </c>
      <c r="BS4" s="140">
        <v>0</v>
      </c>
      <c r="BT4" s="140">
        <v>0</v>
      </c>
      <c r="BU4" s="140">
        <v>0</v>
      </c>
    </row>
    <row r="5" spans="1:73">
      <c r="A5" s="141"/>
      <c r="B5" s="142" t="s">
        <v>221</v>
      </c>
      <c r="C5" s="143">
        <v>0</v>
      </c>
      <c r="D5" s="144">
        <v>1</v>
      </c>
      <c r="E5" s="139">
        <f>+ROUND(C5/D5,0)</f>
        <v>0</v>
      </c>
      <c r="F5" s="139"/>
      <c r="G5" s="138">
        <f t="shared" ref="G5:G10" si="4">IF(ABS($E5)&lt;ABS(AI5),$E5,AI5)</f>
        <v>0</v>
      </c>
      <c r="H5" s="138">
        <f t="shared" si="0"/>
        <v>0</v>
      </c>
      <c r="I5" s="138">
        <f t="shared" si="0"/>
        <v>0</v>
      </c>
      <c r="J5" s="138">
        <f t="shared" si="0"/>
        <v>0</v>
      </c>
      <c r="K5" s="138">
        <f t="shared" si="0"/>
        <v>0</v>
      </c>
      <c r="L5" s="139">
        <f t="shared" si="0"/>
        <v>0</v>
      </c>
      <c r="M5" s="139">
        <f t="shared" si="0"/>
        <v>0</v>
      </c>
      <c r="N5" s="139">
        <f t="shared" si="0"/>
        <v>0</v>
      </c>
      <c r="O5" s="139">
        <f t="shared" si="0"/>
        <v>0</v>
      </c>
      <c r="P5" s="139">
        <f t="shared" si="0"/>
        <v>0</v>
      </c>
      <c r="Q5" s="139">
        <f t="shared" si="0"/>
        <v>0</v>
      </c>
      <c r="R5" s="139">
        <f t="shared" si="0"/>
        <v>0</v>
      </c>
      <c r="S5" s="139">
        <f t="shared" si="0"/>
        <v>0</v>
      </c>
      <c r="T5" s="139">
        <f t="shared" si="0"/>
        <v>0</v>
      </c>
      <c r="U5" s="139">
        <f t="shared" si="0"/>
        <v>0</v>
      </c>
      <c r="V5" s="139">
        <f t="shared" si="0"/>
        <v>0</v>
      </c>
      <c r="W5" s="139">
        <f t="shared" si="0"/>
        <v>0</v>
      </c>
      <c r="X5" s="139">
        <f t="shared" si="1"/>
        <v>0</v>
      </c>
      <c r="Y5" s="139">
        <f t="shared" si="1"/>
        <v>0</v>
      </c>
      <c r="Z5" s="139">
        <f t="shared" si="1"/>
        <v>0</v>
      </c>
      <c r="AA5" s="139">
        <f t="shared" si="1"/>
        <v>0</v>
      </c>
      <c r="AB5" s="139">
        <f t="shared" si="1"/>
        <v>0</v>
      </c>
      <c r="AC5" s="139">
        <f t="shared" si="1"/>
        <v>0</v>
      </c>
      <c r="AD5" s="139">
        <f t="shared" si="1"/>
        <v>0</v>
      </c>
      <c r="AE5" s="139">
        <f t="shared" si="1"/>
        <v>0</v>
      </c>
      <c r="AF5" s="139">
        <f t="shared" si="1"/>
        <v>0</v>
      </c>
      <c r="AG5" s="139"/>
      <c r="AH5" s="139"/>
      <c r="AI5" s="143">
        <f t="shared" ref="AI5:AI10" si="5">+C5-E5</f>
        <v>0</v>
      </c>
      <c r="AJ5" s="143">
        <f t="shared" si="2"/>
        <v>0</v>
      </c>
      <c r="AK5" s="139">
        <f t="shared" si="2"/>
        <v>0</v>
      </c>
      <c r="AL5" s="139">
        <f t="shared" si="2"/>
        <v>0</v>
      </c>
      <c r="AM5" s="139">
        <f t="shared" si="2"/>
        <v>0</v>
      </c>
      <c r="AN5" s="139">
        <f t="shared" si="2"/>
        <v>0</v>
      </c>
      <c r="AO5" s="139">
        <f t="shared" si="2"/>
        <v>0</v>
      </c>
      <c r="AP5" s="139">
        <f t="shared" si="2"/>
        <v>0</v>
      </c>
      <c r="AQ5" s="139">
        <f t="shared" si="2"/>
        <v>0</v>
      </c>
      <c r="AR5" s="139">
        <f t="shared" si="2"/>
        <v>0</v>
      </c>
      <c r="AS5" s="139">
        <f t="shared" si="2"/>
        <v>0</v>
      </c>
      <c r="AT5" s="139">
        <f t="shared" si="3"/>
        <v>0</v>
      </c>
      <c r="AU5" s="139">
        <f t="shared" si="3"/>
        <v>0</v>
      </c>
      <c r="AV5" s="139">
        <f t="shared" si="3"/>
        <v>0</v>
      </c>
      <c r="AW5" s="139">
        <f t="shared" si="3"/>
        <v>0</v>
      </c>
      <c r="AX5" s="139">
        <f t="shared" si="3"/>
        <v>0</v>
      </c>
      <c r="AY5" s="139">
        <f t="shared" si="3"/>
        <v>0</v>
      </c>
      <c r="AZ5" s="139">
        <f t="shared" si="3"/>
        <v>0</v>
      </c>
      <c r="BA5" s="139">
        <f t="shared" si="3"/>
        <v>0</v>
      </c>
      <c r="BB5" s="139">
        <f t="shared" si="3"/>
        <v>0</v>
      </c>
      <c r="BC5" s="139">
        <f t="shared" si="3"/>
        <v>0</v>
      </c>
      <c r="BD5" s="139">
        <f t="shared" si="3"/>
        <v>0</v>
      </c>
      <c r="BE5" s="143">
        <f t="shared" ref="BE5:BU10" si="6">+BD5-AQ5</f>
        <v>0</v>
      </c>
      <c r="BF5" s="143">
        <f t="shared" si="6"/>
        <v>0</v>
      </c>
      <c r="BG5" s="143">
        <f t="shared" si="6"/>
        <v>0</v>
      </c>
      <c r="BH5" s="143">
        <f t="shared" si="6"/>
        <v>0</v>
      </c>
      <c r="BI5" s="143">
        <f t="shared" si="6"/>
        <v>0</v>
      </c>
      <c r="BJ5" s="143">
        <f t="shared" si="6"/>
        <v>0</v>
      </c>
      <c r="BK5" s="143">
        <f t="shared" si="6"/>
        <v>0</v>
      </c>
      <c r="BL5" s="143">
        <f t="shared" si="6"/>
        <v>0</v>
      </c>
      <c r="BM5" s="143">
        <f t="shared" si="6"/>
        <v>0</v>
      </c>
      <c r="BN5" s="143">
        <f t="shared" si="6"/>
        <v>0</v>
      </c>
      <c r="BO5" s="143">
        <f t="shared" si="6"/>
        <v>0</v>
      </c>
      <c r="BP5" s="143">
        <f t="shared" si="6"/>
        <v>0</v>
      </c>
      <c r="BQ5" s="143">
        <f t="shared" si="6"/>
        <v>0</v>
      </c>
      <c r="BR5" s="143">
        <f t="shared" si="6"/>
        <v>0</v>
      </c>
      <c r="BS5" s="143">
        <f t="shared" si="6"/>
        <v>0</v>
      </c>
      <c r="BT5" s="143">
        <f t="shared" si="6"/>
        <v>0</v>
      </c>
      <c r="BU5" s="143">
        <f t="shared" si="6"/>
        <v>0</v>
      </c>
    </row>
    <row r="6" spans="1:73">
      <c r="A6" s="141"/>
      <c r="B6" s="142" t="s">
        <v>221</v>
      </c>
      <c r="C6" s="143"/>
      <c r="D6" s="144">
        <v>25</v>
      </c>
      <c r="E6" s="139">
        <f t="shared" ref="E6:E10" si="7">+ROUND(C6/D6,0)</f>
        <v>0</v>
      </c>
      <c r="F6" s="139"/>
      <c r="G6" s="138">
        <f t="shared" si="4"/>
        <v>0</v>
      </c>
      <c r="H6" s="138">
        <f t="shared" si="0"/>
        <v>0</v>
      </c>
      <c r="I6" s="138">
        <f t="shared" si="0"/>
        <v>0</v>
      </c>
      <c r="J6" s="138">
        <f t="shared" si="0"/>
        <v>0</v>
      </c>
      <c r="K6" s="138">
        <f t="shared" si="0"/>
        <v>0</v>
      </c>
      <c r="L6" s="139">
        <f t="shared" si="0"/>
        <v>0</v>
      </c>
      <c r="M6" s="139">
        <f t="shared" si="0"/>
        <v>0</v>
      </c>
      <c r="N6" s="139">
        <f t="shared" si="0"/>
        <v>0</v>
      </c>
      <c r="O6" s="139">
        <f t="shared" si="0"/>
        <v>0</v>
      </c>
      <c r="P6" s="139">
        <f t="shared" si="0"/>
        <v>0</v>
      </c>
      <c r="Q6" s="139">
        <f t="shared" si="0"/>
        <v>0</v>
      </c>
      <c r="R6" s="139">
        <f t="shared" si="0"/>
        <v>0</v>
      </c>
      <c r="S6" s="139">
        <f t="shared" si="0"/>
        <v>0</v>
      </c>
      <c r="T6" s="139">
        <f t="shared" si="0"/>
        <v>0</v>
      </c>
      <c r="U6" s="139">
        <f t="shared" si="0"/>
        <v>0</v>
      </c>
      <c r="V6" s="139">
        <f t="shared" si="0"/>
        <v>0</v>
      </c>
      <c r="W6" s="139">
        <f t="shared" si="0"/>
        <v>0</v>
      </c>
      <c r="X6" s="139">
        <f t="shared" si="1"/>
        <v>0</v>
      </c>
      <c r="Y6" s="139">
        <f t="shared" si="1"/>
        <v>0</v>
      </c>
      <c r="Z6" s="139">
        <f t="shared" si="1"/>
        <v>0</v>
      </c>
      <c r="AA6" s="139">
        <f t="shared" si="1"/>
        <v>0</v>
      </c>
      <c r="AB6" s="139">
        <f t="shared" si="1"/>
        <v>0</v>
      </c>
      <c r="AC6" s="139">
        <f t="shared" si="1"/>
        <v>0</v>
      </c>
      <c r="AD6" s="139">
        <f t="shared" si="1"/>
        <v>0</v>
      </c>
      <c r="AE6" s="139">
        <f t="shared" si="1"/>
        <v>0</v>
      </c>
      <c r="AF6" s="139">
        <f t="shared" si="1"/>
        <v>0</v>
      </c>
      <c r="AG6" s="139"/>
      <c r="AH6" s="139"/>
      <c r="AI6" s="143">
        <f t="shared" si="5"/>
        <v>0</v>
      </c>
      <c r="AJ6" s="143">
        <f t="shared" si="2"/>
        <v>0</v>
      </c>
      <c r="AK6" s="139">
        <f t="shared" si="2"/>
        <v>0</v>
      </c>
      <c r="AL6" s="139">
        <f t="shared" si="2"/>
        <v>0</v>
      </c>
      <c r="AM6" s="139">
        <f t="shared" si="2"/>
        <v>0</v>
      </c>
      <c r="AN6" s="139">
        <f t="shared" si="2"/>
        <v>0</v>
      </c>
      <c r="AO6" s="139">
        <f t="shared" si="2"/>
        <v>0</v>
      </c>
      <c r="AP6" s="139">
        <f t="shared" si="2"/>
        <v>0</v>
      </c>
      <c r="AQ6" s="139">
        <f t="shared" si="2"/>
        <v>0</v>
      </c>
      <c r="AR6" s="139">
        <f t="shared" si="2"/>
        <v>0</v>
      </c>
      <c r="AS6" s="139">
        <f t="shared" si="2"/>
        <v>0</v>
      </c>
      <c r="AT6" s="139">
        <f t="shared" si="3"/>
        <v>0</v>
      </c>
      <c r="AU6" s="139">
        <f t="shared" si="3"/>
        <v>0</v>
      </c>
      <c r="AV6" s="139">
        <f t="shared" si="3"/>
        <v>0</v>
      </c>
      <c r="AW6" s="139">
        <f t="shared" si="3"/>
        <v>0</v>
      </c>
      <c r="AX6" s="139">
        <f t="shared" si="3"/>
        <v>0</v>
      </c>
      <c r="AY6" s="139">
        <f t="shared" si="3"/>
        <v>0</v>
      </c>
      <c r="AZ6" s="139">
        <f t="shared" si="3"/>
        <v>0</v>
      </c>
      <c r="BA6" s="139">
        <f t="shared" si="3"/>
        <v>0</v>
      </c>
      <c r="BB6" s="139">
        <f t="shared" si="3"/>
        <v>0</v>
      </c>
      <c r="BC6" s="139">
        <f t="shared" si="3"/>
        <v>0</v>
      </c>
      <c r="BD6" s="139">
        <f t="shared" si="3"/>
        <v>0</v>
      </c>
      <c r="BE6" s="143"/>
      <c r="BF6" s="143"/>
      <c r="BG6" s="143"/>
      <c r="BH6" s="143"/>
      <c r="BI6" s="143"/>
      <c r="BJ6" s="143"/>
      <c r="BK6" s="143"/>
      <c r="BL6" s="143"/>
      <c r="BM6" s="143"/>
      <c r="BN6" s="143"/>
      <c r="BO6" s="143"/>
      <c r="BP6" s="143"/>
      <c r="BQ6" s="143"/>
      <c r="BR6" s="143"/>
      <c r="BS6" s="143"/>
      <c r="BT6" s="143"/>
      <c r="BU6" s="143"/>
    </row>
    <row r="7" spans="1:73">
      <c r="A7" s="141"/>
      <c r="B7" s="142"/>
      <c r="C7" s="143">
        <v>0</v>
      </c>
      <c r="D7" s="144">
        <v>5.71</v>
      </c>
      <c r="E7" s="139">
        <f t="shared" si="7"/>
        <v>0</v>
      </c>
      <c r="F7" s="139"/>
      <c r="G7" s="138">
        <f t="shared" si="4"/>
        <v>0</v>
      </c>
      <c r="H7" s="138">
        <f t="shared" si="0"/>
        <v>0</v>
      </c>
      <c r="I7" s="138">
        <f t="shared" si="0"/>
        <v>0</v>
      </c>
      <c r="J7" s="138">
        <f t="shared" si="0"/>
        <v>0</v>
      </c>
      <c r="K7" s="138">
        <f t="shared" si="0"/>
        <v>0</v>
      </c>
      <c r="L7" s="139">
        <f t="shared" si="0"/>
        <v>0</v>
      </c>
      <c r="M7" s="139">
        <f t="shared" si="0"/>
        <v>0</v>
      </c>
      <c r="N7" s="139">
        <f t="shared" si="0"/>
        <v>0</v>
      </c>
      <c r="O7" s="139">
        <f t="shared" si="0"/>
        <v>0</v>
      </c>
      <c r="P7" s="139">
        <f t="shared" si="0"/>
        <v>0</v>
      </c>
      <c r="Q7" s="139">
        <f t="shared" si="0"/>
        <v>0</v>
      </c>
      <c r="R7" s="139">
        <f t="shared" si="0"/>
        <v>0</v>
      </c>
      <c r="S7" s="139">
        <f t="shared" si="0"/>
        <v>0</v>
      </c>
      <c r="T7" s="139">
        <f t="shared" si="0"/>
        <v>0</v>
      </c>
      <c r="U7" s="139">
        <f t="shared" si="0"/>
        <v>0</v>
      </c>
      <c r="V7" s="139">
        <f t="shared" si="0"/>
        <v>0</v>
      </c>
      <c r="W7" s="139">
        <f t="shared" si="0"/>
        <v>0</v>
      </c>
      <c r="X7" s="139">
        <f t="shared" si="1"/>
        <v>0</v>
      </c>
      <c r="Y7" s="139">
        <f t="shared" si="1"/>
        <v>0</v>
      </c>
      <c r="Z7" s="139">
        <f t="shared" si="1"/>
        <v>0</v>
      </c>
      <c r="AA7" s="139">
        <f t="shared" si="1"/>
        <v>0</v>
      </c>
      <c r="AB7" s="139">
        <f t="shared" si="1"/>
        <v>0</v>
      </c>
      <c r="AC7" s="139">
        <f t="shared" si="1"/>
        <v>0</v>
      </c>
      <c r="AD7" s="139">
        <f t="shared" si="1"/>
        <v>0</v>
      </c>
      <c r="AE7" s="139">
        <f t="shared" si="1"/>
        <v>0</v>
      </c>
      <c r="AF7" s="139">
        <f t="shared" si="1"/>
        <v>0</v>
      </c>
      <c r="AG7" s="139"/>
      <c r="AH7" s="139"/>
      <c r="AI7" s="143">
        <f t="shared" si="5"/>
        <v>0</v>
      </c>
      <c r="AJ7" s="143">
        <f t="shared" si="2"/>
        <v>0</v>
      </c>
      <c r="AK7" s="139">
        <f t="shared" si="2"/>
        <v>0</v>
      </c>
      <c r="AL7" s="139">
        <f t="shared" si="2"/>
        <v>0</v>
      </c>
      <c r="AM7" s="139">
        <f t="shared" si="2"/>
        <v>0</v>
      </c>
      <c r="AN7" s="139">
        <f t="shared" si="2"/>
        <v>0</v>
      </c>
      <c r="AO7" s="139">
        <f t="shared" si="2"/>
        <v>0</v>
      </c>
      <c r="AP7" s="139">
        <f t="shared" si="2"/>
        <v>0</v>
      </c>
      <c r="AQ7" s="139">
        <f t="shared" si="2"/>
        <v>0</v>
      </c>
      <c r="AR7" s="139">
        <f t="shared" si="2"/>
        <v>0</v>
      </c>
      <c r="AS7" s="139">
        <f t="shared" si="2"/>
        <v>0</v>
      </c>
      <c r="AT7" s="139">
        <f t="shared" si="3"/>
        <v>0</v>
      </c>
      <c r="AU7" s="139">
        <f t="shared" si="3"/>
        <v>0</v>
      </c>
      <c r="AV7" s="139">
        <f t="shared" si="3"/>
        <v>0</v>
      </c>
      <c r="AW7" s="139">
        <f t="shared" si="3"/>
        <v>0</v>
      </c>
      <c r="AX7" s="139">
        <f t="shared" si="3"/>
        <v>0</v>
      </c>
      <c r="AY7" s="139">
        <f t="shared" si="3"/>
        <v>0</v>
      </c>
      <c r="AZ7" s="139">
        <f t="shared" si="3"/>
        <v>0</v>
      </c>
      <c r="BA7" s="139">
        <f t="shared" si="3"/>
        <v>0</v>
      </c>
      <c r="BB7" s="139">
        <f t="shared" si="3"/>
        <v>0</v>
      </c>
      <c r="BC7" s="139">
        <f t="shared" si="3"/>
        <v>0</v>
      </c>
      <c r="BD7" s="139">
        <f t="shared" si="3"/>
        <v>0</v>
      </c>
      <c r="BE7" s="143">
        <f t="shared" ref="BE7:BP10" si="8">+BD7-AQ7</f>
        <v>0</v>
      </c>
      <c r="BF7" s="143">
        <f t="shared" si="8"/>
        <v>0</v>
      </c>
      <c r="BG7" s="143">
        <f t="shared" si="8"/>
        <v>0</v>
      </c>
      <c r="BH7" s="143">
        <f t="shared" si="8"/>
        <v>0</v>
      </c>
      <c r="BI7" s="143">
        <f t="shared" si="8"/>
        <v>0</v>
      </c>
      <c r="BJ7" s="143">
        <f t="shared" si="8"/>
        <v>0</v>
      </c>
      <c r="BK7" s="143">
        <f t="shared" si="8"/>
        <v>0</v>
      </c>
      <c r="BL7" s="143">
        <f t="shared" si="8"/>
        <v>0</v>
      </c>
      <c r="BM7" s="143">
        <f t="shared" si="8"/>
        <v>0</v>
      </c>
      <c r="BN7" s="143">
        <f t="shared" si="8"/>
        <v>0</v>
      </c>
      <c r="BO7" s="143">
        <f t="shared" si="8"/>
        <v>0</v>
      </c>
      <c r="BP7" s="143">
        <f t="shared" si="8"/>
        <v>0</v>
      </c>
      <c r="BQ7" s="143">
        <f t="shared" si="6"/>
        <v>0</v>
      </c>
      <c r="BR7" s="143">
        <f t="shared" si="6"/>
        <v>0</v>
      </c>
      <c r="BS7" s="143">
        <f t="shared" si="6"/>
        <v>0</v>
      </c>
      <c r="BT7" s="143">
        <f t="shared" si="6"/>
        <v>0</v>
      </c>
      <c r="BU7" s="143">
        <f t="shared" si="6"/>
        <v>0</v>
      </c>
    </row>
    <row r="8" spans="1:73">
      <c r="A8" s="141"/>
      <c r="B8" s="142"/>
      <c r="C8" s="143">
        <v>0</v>
      </c>
      <c r="D8" s="144">
        <v>5.71</v>
      </c>
      <c r="E8" s="139">
        <f t="shared" si="7"/>
        <v>0</v>
      </c>
      <c r="F8" s="139"/>
      <c r="G8" s="138">
        <f t="shared" si="4"/>
        <v>0</v>
      </c>
      <c r="H8" s="138">
        <f t="shared" si="0"/>
        <v>0</v>
      </c>
      <c r="I8" s="138">
        <f t="shared" si="0"/>
        <v>0</v>
      </c>
      <c r="J8" s="138">
        <f t="shared" si="0"/>
        <v>0</v>
      </c>
      <c r="K8" s="138">
        <f t="shared" si="0"/>
        <v>0</v>
      </c>
      <c r="L8" s="139">
        <f t="shared" si="0"/>
        <v>0</v>
      </c>
      <c r="M8" s="139">
        <f t="shared" si="0"/>
        <v>0</v>
      </c>
      <c r="N8" s="139">
        <f t="shared" si="0"/>
        <v>0</v>
      </c>
      <c r="O8" s="139">
        <f t="shared" si="0"/>
        <v>0</v>
      </c>
      <c r="P8" s="139">
        <f t="shared" si="0"/>
        <v>0</v>
      </c>
      <c r="Q8" s="139">
        <f t="shared" si="0"/>
        <v>0</v>
      </c>
      <c r="R8" s="139">
        <f t="shared" si="0"/>
        <v>0</v>
      </c>
      <c r="S8" s="139">
        <f t="shared" si="0"/>
        <v>0</v>
      </c>
      <c r="T8" s="139">
        <f t="shared" si="0"/>
        <v>0</v>
      </c>
      <c r="U8" s="139">
        <f t="shared" si="0"/>
        <v>0</v>
      </c>
      <c r="V8" s="139">
        <f t="shared" si="0"/>
        <v>0</v>
      </c>
      <c r="W8" s="139">
        <f t="shared" si="0"/>
        <v>0</v>
      </c>
      <c r="X8" s="139">
        <f t="shared" si="1"/>
        <v>0</v>
      </c>
      <c r="Y8" s="139">
        <f t="shared" si="1"/>
        <v>0</v>
      </c>
      <c r="Z8" s="139">
        <f t="shared" si="1"/>
        <v>0</v>
      </c>
      <c r="AA8" s="139">
        <f t="shared" si="1"/>
        <v>0</v>
      </c>
      <c r="AB8" s="139">
        <f t="shared" si="1"/>
        <v>0</v>
      </c>
      <c r="AC8" s="139">
        <f t="shared" si="1"/>
        <v>0</v>
      </c>
      <c r="AD8" s="139">
        <f t="shared" si="1"/>
        <v>0</v>
      </c>
      <c r="AE8" s="139">
        <f t="shared" si="1"/>
        <v>0</v>
      </c>
      <c r="AF8" s="139">
        <f t="shared" si="1"/>
        <v>0</v>
      </c>
      <c r="AG8" s="139"/>
      <c r="AH8" s="139"/>
      <c r="AI8" s="143">
        <f t="shared" si="5"/>
        <v>0</v>
      </c>
      <c r="AJ8" s="143">
        <f t="shared" si="2"/>
        <v>0</v>
      </c>
      <c r="AK8" s="139">
        <f t="shared" si="2"/>
        <v>0</v>
      </c>
      <c r="AL8" s="139">
        <f t="shared" si="2"/>
        <v>0</v>
      </c>
      <c r="AM8" s="139">
        <f t="shared" si="2"/>
        <v>0</v>
      </c>
      <c r="AN8" s="139">
        <f t="shared" si="2"/>
        <v>0</v>
      </c>
      <c r="AO8" s="139">
        <f t="shared" si="2"/>
        <v>0</v>
      </c>
      <c r="AP8" s="139">
        <f t="shared" si="2"/>
        <v>0</v>
      </c>
      <c r="AQ8" s="139">
        <f t="shared" si="2"/>
        <v>0</v>
      </c>
      <c r="AR8" s="139">
        <f t="shared" si="2"/>
        <v>0</v>
      </c>
      <c r="AS8" s="139">
        <f t="shared" si="2"/>
        <v>0</v>
      </c>
      <c r="AT8" s="139">
        <f t="shared" si="3"/>
        <v>0</v>
      </c>
      <c r="AU8" s="139">
        <f t="shared" si="3"/>
        <v>0</v>
      </c>
      <c r="AV8" s="139">
        <f t="shared" si="3"/>
        <v>0</v>
      </c>
      <c r="AW8" s="139">
        <f t="shared" si="3"/>
        <v>0</v>
      </c>
      <c r="AX8" s="139">
        <f t="shared" si="3"/>
        <v>0</v>
      </c>
      <c r="AY8" s="139">
        <f t="shared" si="3"/>
        <v>0</v>
      </c>
      <c r="AZ8" s="139">
        <f t="shared" si="3"/>
        <v>0</v>
      </c>
      <c r="BA8" s="139">
        <f t="shared" si="3"/>
        <v>0</v>
      </c>
      <c r="BB8" s="139">
        <f t="shared" si="3"/>
        <v>0</v>
      </c>
      <c r="BC8" s="139">
        <f t="shared" si="3"/>
        <v>0</v>
      </c>
      <c r="BD8" s="139">
        <f t="shared" si="3"/>
        <v>0</v>
      </c>
      <c r="BE8" s="143">
        <f t="shared" si="8"/>
        <v>0</v>
      </c>
      <c r="BF8" s="143">
        <f t="shared" si="8"/>
        <v>0</v>
      </c>
      <c r="BG8" s="143">
        <f t="shared" si="8"/>
        <v>0</v>
      </c>
      <c r="BH8" s="143">
        <f t="shared" si="8"/>
        <v>0</v>
      </c>
      <c r="BI8" s="143">
        <f t="shared" si="8"/>
        <v>0</v>
      </c>
      <c r="BJ8" s="143">
        <f t="shared" si="8"/>
        <v>0</v>
      </c>
      <c r="BK8" s="143">
        <f t="shared" si="8"/>
        <v>0</v>
      </c>
      <c r="BL8" s="143">
        <f t="shared" si="8"/>
        <v>0</v>
      </c>
      <c r="BM8" s="143">
        <f t="shared" si="8"/>
        <v>0</v>
      </c>
      <c r="BN8" s="143">
        <f t="shared" si="8"/>
        <v>0</v>
      </c>
      <c r="BO8" s="143">
        <f t="shared" si="8"/>
        <v>0</v>
      </c>
      <c r="BP8" s="143">
        <f t="shared" si="8"/>
        <v>0</v>
      </c>
      <c r="BQ8" s="143">
        <f t="shared" si="6"/>
        <v>0</v>
      </c>
      <c r="BR8" s="143">
        <f t="shared" si="6"/>
        <v>0</v>
      </c>
      <c r="BS8" s="143">
        <f t="shared" si="6"/>
        <v>0</v>
      </c>
      <c r="BT8" s="143">
        <f t="shared" si="6"/>
        <v>0</v>
      </c>
      <c r="BU8" s="143">
        <f t="shared" si="6"/>
        <v>0</v>
      </c>
    </row>
    <row r="9" spans="1:73">
      <c r="A9" s="141"/>
      <c r="B9" s="142"/>
      <c r="C9" s="143">
        <v>0</v>
      </c>
      <c r="D9" s="144">
        <v>5.71</v>
      </c>
      <c r="E9" s="139">
        <f t="shared" si="7"/>
        <v>0</v>
      </c>
      <c r="F9" s="139"/>
      <c r="G9" s="138">
        <f t="shared" si="4"/>
        <v>0</v>
      </c>
      <c r="H9" s="138">
        <f t="shared" si="0"/>
        <v>0</v>
      </c>
      <c r="I9" s="138">
        <f t="shared" si="0"/>
        <v>0</v>
      </c>
      <c r="J9" s="138">
        <f t="shared" si="0"/>
        <v>0</v>
      </c>
      <c r="K9" s="138">
        <f t="shared" si="0"/>
        <v>0</v>
      </c>
      <c r="L9" s="139">
        <f t="shared" si="0"/>
        <v>0</v>
      </c>
      <c r="M9" s="139">
        <f t="shared" si="0"/>
        <v>0</v>
      </c>
      <c r="N9" s="139">
        <f t="shared" si="0"/>
        <v>0</v>
      </c>
      <c r="O9" s="139">
        <f t="shared" si="0"/>
        <v>0</v>
      </c>
      <c r="P9" s="139">
        <f t="shared" si="0"/>
        <v>0</v>
      </c>
      <c r="Q9" s="139">
        <f t="shared" si="0"/>
        <v>0</v>
      </c>
      <c r="R9" s="139">
        <f t="shared" si="0"/>
        <v>0</v>
      </c>
      <c r="S9" s="139">
        <f t="shared" si="0"/>
        <v>0</v>
      </c>
      <c r="T9" s="139">
        <f t="shared" si="0"/>
        <v>0</v>
      </c>
      <c r="U9" s="139">
        <f t="shared" si="0"/>
        <v>0</v>
      </c>
      <c r="V9" s="139">
        <f t="shared" si="0"/>
        <v>0</v>
      </c>
      <c r="W9" s="139">
        <f t="shared" si="0"/>
        <v>0</v>
      </c>
      <c r="X9" s="139">
        <f t="shared" si="1"/>
        <v>0</v>
      </c>
      <c r="Y9" s="139">
        <f t="shared" si="1"/>
        <v>0</v>
      </c>
      <c r="Z9" s="139">
        <f t="shared" si="1"/>
        <v>0</v>
      </c>
      <c r="AA9" s="139">
        <f t="shared" si="1"/>
        <v>0</v>
      </c>
      <c r="AB9" s="139">
        <f t="shared" si="1"/>
        <v>0</v>
      </c>
      <c r="AC9" s="139">
        <f t="shared" si="1"/>
        <v>0</v>
      </c>
      <c r="AD9" s="139">
        <f t="shared" si="1"/>
        <v>0</v>
      </c>
      <c r="AE9" s="139">
        <f t="shared" si="1"/>
        <v>0</v>
      </c>
      <c r="AF9" s="139">
        <f t="shared" si="1"/>
        <v>0</v>
      </c>
      <c r="AG9" s="139"/>
      <c r="AH9" s="139"/>
      <c r="AI9" s="143">
        <f t="shared" si="5"/>
        <v>0</v>
      </c>
      <c r="AJ9" s="143">
        <f t="shared" si="2"/>
        <v>0</v>
      </c>
      <c r="AK9" s="139">
        <f t="shared" si="2"/>
        <v>0</v>
      </c>
      <c r="AL9" s="139">
        <f t="shared" si="2"/>
        <v>0</v>
      </c>
      <c r="AM9" s="139">
        <f t="shared" si="2"/>
        <v>0</v>
      </c>
      <c r="AN9" s="139">
        <f t="shared" si="2"/>
        <v>0</v>
      </c>
      <c r="AO9" s="139">
        <f t="shared" si="2"/>
        <v>0</v>
      </c>
      <c r="AP9" s="139">
        <f t="shared" si="2"/>
        <v>0</v>
      </c>
      <c r="AQ9" s="139">
        <f t="shared" si="2"/>
        <v>0</v>
      </c>
      <c r="AR9" s="139">
        <f t="shared" si="2"/>
        <v>0</v>
      </c>
      <c r="AS9" s="139">
        <f t="shared" si="2"/>
        <v>0</v>
      </c>
      <c r="AT9" s="139">
        <f t="shared" si="3"/>
        <v>0</v>
      </c>
      <c r="AU9" s="139">
        <f t="shared" si="3"/>
        <v>0</v>
      </c>
      <c r="AV9" s="139">
        <f t="shared" si="3"/>
        <v>0</v>
      </c>
      <c r="AW9" s="139">
        <f t="shared" si="3"/>
        <v>0</v>
      </c>
      <c r="AX9" s="139">
        <f t="shared" si="3"/>
        <v>0</v>
      </c>
      <c r="AY9" s="139">
        <f t="shared" si="3"/>
        <v>0</v>
      </c>
      <c r="AZ9" s="139">
        <f t="shared" si="3"/>
        <v>0</v>
      </c>
      <c r="BA9" s="139">
        <f t="shared" si="3"/>
        <v>0</v>
      </c>
      <c r="BB9" s="139">
        <f t="shared" si="3"/>
        <v>0</v>
      </c>
      <c r="BC9" s="139">
        <f t="shared" si="3"/>
        <v>0</v>
      </c>
      <c r="BD9" s="139">
        <f t="shared" si="3"/>
        <v>0</v>
      </c>
      <c r="BE9" s="143">
        <f t="shared" si="8"/>
        <v>0</v>
      </c>
      <c r="BF9" s="143">
        <f t="shared" si="8"/>
        <v>0</v>
      </c>
      <c r="BG9" s="143">
        <f t="shared" si="8"/>
        <v>0</v>
      </c>
      <c r="BH9" s="143">
        <f t="shared" si="8"/>
        <v>0</v>
      </c>
      <c r="BI9" s="143">
        <f t="shared" si="8"/>
        <v>0</v>
      </c>
      <c r="BJ9" s="143">
        <f t="shared" si="8"/>
        <v>0</v>
      </c>
      <c r="BK9" s="143">
        <f t="shared" si="8"/>
        <v>0</v>
      </c>
      <c r="BL9" s="143">
        <f t="shared" si="8"/>
        <v>0</v>
      </c>
      <c r="BM9" s="143">
        <f t="shared" si="8"/>
        <v>0</v>
      </c>
      <c r="BN9" s="143">
        <f t="shared" si="8"/>
        <v>0</v>
      </c>
      <c r="BO9" s="143">
        <f t="shared" si="8"/>
        <v>0</v>
      </c>
      <c r="BP9" s="143">
        <f t="shared" si="8"/>
        <v>0</v>
      </c>
      <c r="BQ9" s="143">
        <f t="shared" si="6"/>
        <v>0</v>
      </c>
      <c r="BR9" s="143">
        <f t="shared" si="6"/>
        <v>0</v>
      </c>
      <c r="BS9" s="143">
        <f t="shared" si="6"/>
        <v>0</v>
      </c>
      <c r="BT9" s="143">
        <f t="shared" si="6"/>
        <v>0</v>
      </c>
      <c r="BU9" s="143">
        <f t="shared" si="6"/>
        <v>0</v>
      </c>
    </row>
    <row r="10" spans="1:73">
      <c r="A10" s="141"/>
      <c r="B10" s="142"/>
      <c r="C10" s="143">
        <v>0</v>
      </c>
      <c r="D10" s="144">
        <v>5.71</v>
      </c>
      <c r="E10" s="139">
        <f t="shared" si="7"/>
        <v>0</v>
      </c>
      <c r="F10" s="139"/>
      <c r="G10" s="138">
        <f t="shared" si="4"/>
        <v>0</v>
      </c>
      <c r="H10" s="138">
        <f t="shared" si="0"/>
        <v>0</v>
      </c>
      <c r="I10" s="138">
        <f t="shared" si="0"/>
        <v>0</v>
      </c>
      <c r="J10" s="138">
        <f t="shared" si="0"/>
        <v>0</v>
      </c>
      <c r="K10" s="138">
        <f t="shared" si="0"/>
        <v>0</v>
      </c>
      <c r="L10" s="139">
        <f t="shared" si="0"/>
        <v>0</v>
      </c>
      <c r="M10" s="139">
        <f t="shared" si="0"/>
        <v>0</v>
      </c>
      <c r="N10" s="139">
        <f t="shared" si="0"/>
        <v>0</v>
      </c>
      <c r="O10" s="139">
        <f t="shared" si="0"/>
        <v>0</v>
      </c>
      <c r="P10" s="139">
        <f t="shared" si="0"/>
        <v>0</v>
      </c>
      <c r="Q10" s="139">
        <f t="shared" si="0"/>
        <v>0</v>
      </c>
      <c r="R10" s="139">
        <f t="shared" si="0"/>
        <v>0</v>
      </c>
      <c r="S10" s="139">
        <f t="shared" si="0"/>
        <v>0</v>
      </c>
      <c r="T10" s="139">
        <f t="shared" si="0"/>
        <v>0</v>
      </c>
      <c r="U10" s="139">
        <f t="shared" si="0"/>
        <v>0</v>
      </c>
      <c r="V10" s="139">
        <f t="shared" si="0"/>
        <v>0</v>
      </c>
      <c r="W10" s="139">
        <f t="shared" si="0"/>
        <v>0</v>
      </c>
      <c r="X10" s="139">
        <f t="shared" si="1"/>
        <v>0</v>
      </c>
      <c r="Y10" s="139">
        <f t="shared" si="1"/>
        <v>0</v>
      </c>
      <c r="Z10" s="139">
        <f t="shared" si="1"/>
        <v>0</v>
      </c>
      <c r="AA10" s="139">
        <f t="shared" si="1"/>
        <v>0</v>
      </c>
      <c r="AB10" s="139">
        <f t="shared" si="1"/>
        <v>0</v>
      </c>
      <c r="AC10" s="139">
        <f t="shared" si="1"/>
        <v>0</v>
      </c>
      <c r="AD10" s="139">
        <f t="shared" si="1"/>
        <v>0</v>
      </c>
      <c r="AE10" s="139">
        <f t="shared" si="1"/>
        <v>0</v>
      </c>
      <c r="AF10" s="139">
        <f t="shared" si="1"/>
        <v>0</v>
      </c>
      <c r="AG10" s="139"/>
      <c r="AH10" s="139"/>
      <c r="AI10" s="143">
        <f t="shared" si="5"/>
        <v>0</v>
      </c>
      <c r="AJ10" s="143">
        <f t="shared" si="2"/>
        <v>0</v>
      </c>
      <c r="AK10" s="139">
        <f t="shared" si="2"/>
        <v>0</v>
      </c>
      <c r="AL10" s="139">
        <f t="shared" si="2"/>
        <v>0</v>
      </c>
      <c r="AM10" s="139">
        <f t="shared" si="2"/>
        <v>0</v>
      </c>
      <c r="AN10" s="139">
        <f t="shared" si="2"/>
        <v>0</v>
      </c>
      <c r="AO10" s="139">
        <f t="shared" si="2"/>
        <v>0</v>
      </c>
      <c r="AP10" s="139">
        <f t="shared" si="2"/>
        <v>0</v>
      </c>
      <c r="AQ10" s="139">
        <f t="shared" si="2"/>
        <v>0</v>
      </c>
      <c r="AR10" s="139">
        <f t="shared" si="2"/>
        <v>0</v>
      </c>
      <c r="AS10" s="139">
        <f t="shared" si="2"/>
        <v>0</v>
      </c>
      <c r="AT10" s="139">
        <f t="shared" si="3"/>
        <v>0</v>
      </c>
      <c r="AU10" s="139">
        <f t="shared" si="3"/>
        <v>0</v>
      </c>
      <c r="AV10" s="139">
        <f t="shared" si="3"/>
        <v>0</v>
      </c>
      <c r="AW10" s="139">
        <f t="shared" si="3"/>
        <v>0</v>
      </c>
      <c r="AX10" s="139">
        <f t="shared" si="3"/>
        <v>0</v>
      </c>
      <c r="AY10" s="139">
        <f t="shared" si="3"/>
        <v>0</v>
      </c>
      <c r="AZ10" s="139">
        <f t="shared" si="3"/>
        <v>0</v>
      </c>
      <c r="BA10" s="139">
        <f t="shared" si="3"/>
        <v>0</v>
      </c>
      <c r="BB10" s="139">
        <f t="shared" si="3"/>
        <v>0</v>
      </c>
      <c r="BC10" s="139">
        <f t="shared" si="3"/>
        <v>0</v>
      </c>
      <c r="BD10" s="139">
        <f t="shared" si="3"/>
        <v>0</v>
      </c>
      <c r="BE10" s="143">
        <f t="shared" si="8"/>
        <v>0</v>
      </c>
      <c r="BF10" s="143">
        <f t="shared" si="8"/>
        <v>0</v>
      </c>
      <c r="BG10" s="143">
        <f t="shared" si="8"/>
        <v>0</v>
      </c>
      <c r="BH10" s="143">
        <f t="shared" si="8"/>
        <v>0</v>
      </c>
      <c r="BI10" s="143">
        <f t="shared" si="8"/>
        <v>0</v>
      </c>
      <c r="BJ10" s="143">
        <f t="shared" si="8"/>
        <v>0</v>
      </c>
      <c r="BK10" s="143">
        <f t="shared" si="8"/>
        <v>0</v>
      </c>
      <c r="BL10" s="143">
        <f t="shared" si="8"/>
        <v>0</v>
      </c>
      <c r="BM10" s="143">
        <f t="shared" si="8"/>
        <v>0</v>
      </c>
      <c r="BN10" s="143">
        <f t="shared" si="8"/>
        <v>0</v>
      </c>
      <c r="BO10" s="143">
        <f t="shared" si="8"/>
        <v>0</v>
      </c>
      <c r="BP10" s="143">
        <f t="shared" si="8"/>
        <v>0</v>
      </c>
      <c r="BQ10" s="143">
        <f t="shared" si="6"/>
        <v>0</v>
      </c>
      <c r="BR10" s="143">
        <f t="shared" si="6"/>
        <v>0</v>
      </c>
      <c r="BS10" s="143">
        <f t="shared" si="6"/>
        <v>0</v>
      </c>
      <c r="BT10" s="143">
        <f t="shared" si="6"/>
        <v>0</v>
      </c>
      <c r="BU10" s="143">
        <f t="shared" si="6"/>
        <v>0</v>
      </c>
    </row>
    <row r="12" spans="1:73">
      <c r="A12" s="145" t="s">
        <v>190</v>
      </c>
      <c r="B12" s="139"/>
      <c r="C12" s="139"/>
      <c r="D12" s="139"/>
      <c r="E12" s="139"/>
      <c r="F12" s="138">
        <f>SUM(F4:F7)</f>
        <v>0</v>
      </c>
      <c r="G12" s="138">
        <f>SUM(G4:G7)</f>
        <v>1</v>
      </c>
      <c r="H12" s="138">
        <f>SUM(H4:H7)</f>
        <v>0</v>
      </c>
      <c r="I12" s="138">
        <f t="shared" ref="I12:R12" si="9">SUM(I4:I10)</f>
        <v>0</v>
      </c>
      <c r="J12" s="138">
        <f t="shared" si="9"/>
        <v>0</v>
      </c>
      <c r="K12" s="138">
        <f t="shared" si="9"/>
        <v>0</v>
      </c>
      <c r="L12" s="138">
        <f t="shared" si="9"/>
        <v>0</v>
      </c>
      <c r="M12" s="138">
        <f t="shared" si="9"/>
        <v>0</v>
      </c>
      <c r="N12" s="138">
        <f t="shared" si="9"/>
        <v>0</v>
      </c>
      <c r="O12" s="138">
        <f t="shared" si="9"/>
        <v>0</v>
      </c>
      <c r="P12" s="138">
        <f t="shared" si="9"/>
        <v>0</v>
      </c>
      <c r="Q12" s="138">
        <f t="shared" si="9"/>
        <v>0</v>
      </c>
      <c r="R12" s="138">
        <f t="shared" si="9"/>
        <v>0</v>
      </c>
      <c r="S12" s="138">
        <f>SUM(S4:S7)</f>
        <v>0</v>
      </c>
      <c r="T12" s="139"/>
      <c r="U12" s="143">
        <f>SUM(U4:U7)</f>
        <v>0</v>
      </c>
      <c r="V12" s="143">
        <f>SUM(V4:V7)</f>
        <v>0</v>
      </c>
      <c r="W12" s="143">
        <f>SUM(W4:W7)</f>
        <v>0</v>
      </c>
      <c r="X12" s="139">
        <f t="shared" ref="X12:AG12" si="10">SUM(X4:X10)</f>
        <v>0</v>
      </c>
      <c r="Y12" s="139">
        <f t="shared" si="10"/>
        <v>0</v>
      </c>
      <c r="Z12" s="139">
        <f t="shared" si="10"/>
        <v>0</v>
      </c>
      <c r="AA12" s="139">
        <f t="shared" si="10"/>
        <v>0</v>
      </c>
      <c r="AB12" s="139">
        <f t="shared" si="10"/>
        <v>0</v>
      </c>
      <c r="AC12" s="139">
        <f t="shared" si="10"/>
        <v>0</v>
      </c>
      <c r="AD12" s="139">
        <f t="shared" si="10"/>
        <v>0</v>
      </c>
      <c r="AE12" s="139">
        <f t="shared" si="10"/>
        <v>0</v>
      </c>
      <c r="AF12" s="139">
        <f t="shared" si="10"/>
        <v>0</v>
      </c>
      <c r="AG12" s="139">
        <f t="shared" si="10"/>
        <v>0</v>
      </c>
      <c r="AI12" s="139">
        <f t="shared" ref="AI12:BD12" si="11">SUM(AI4:AI10)</f>
        <v>0</v>
      </c>
      <c r="AJ12" s="139">
        <f t="shared" si="11"/>
        <v>0</v>
      </c>
      <c r="AK12" s="139">
        <f t="shared" si="11"/>
        <v>0</v>
      </c>
      <c r="AL12" s="139">
        <f t="shared" si="11"/>
        <v>0</v>
      </c>
      <c r="AM12" s="139">
        <f t="shared" si="11"/>
        <v>0</v>
      </c>
      <c r="AN12" s="139">
        <f t="shared" si="11"/>
        <v>0</v>
      </c>
      <c r="AO12" s="139">
        <f t="shared" si="11"/>
        <v>0</v>
      </c>
      <c r="AP12" s="139">
        <f t="shared" si="11"/>
        <v>0</v>
      </c>
      <c r="AQ12" s="139">
        <f t="shared" si="11"/>
        <v>0</v>
      </c>
      <c r="AR12" s="139">
        <f t="shared" si="11"/>
        <v>0</v>
      </c>
      <c r="AS12" s="139">
        <f t="shared" si="11"/>
        <v>0</v>
      </c>
      <c r="AT12" s="139">
        <f t="shared" si="11"/>
        <v>0</v>
      </c>
      <c r="AU12" s="139">
        <f t="shared" si="11"/>
        <v>0</v>
      </c>
      <c r="AV12" s="139">
        <f t="shared" si="11"/>
        <v>0</v>
      </c>
      <c r="AW12" s="139">
        <f t="shared" si="11"/>
        <v>0</v>
      </c>
      <c r="AX12" s="139">
        <f t="shared" si="11"/>
        <v>0</v>
      </c>
      <c r="AY12" s="139">
        <f t="shared" si="11"/>
        <v>0</v>
      </c>
      <c r="AZ12" s="139">
        <f t="shared" si="11"/>
        <v>0</v>
      </c>
      <c r="BA12" s="139">
        <f t="shared" si="11"/>
        <v>0</v>
      </c>
      <c r="BB12" s="139">
        <f t="shared" si="11"/>
        <v>0</v>
      </c>
      <c r="BC12" s="139">
        <f t="shared" si="11"/>
        <v>0</v>
      </c>
      <c r="BD12" s="139">
        <f t="shared" si="11"/>
        <v>0</v>
      </c>
    </row>
    <row r="13" spans="1:73" hidden="1">
      <c r="A13" s="145" t="s">
        <v>222</v>
      </c>
      <c r="B13" s="139"/>
      <c r="C13" s="139"/>
      <c r="D13" s="139"/>
      <c r="E13" s="139"/>
      <c r="F13" s="138">
        <f>SUMIF(F4:F7,"&gt;0)")</f>
        <v>0</v>
      </c>
      <c r="G13" s="138">
        <f>SUMIF(G4:G7,"&gt;0")</f>
        <v>1</v>
      </c>
      <c r="H13" s="138">
        <f>SUMIF(H4:H7,"&gt;0")</f>
        <v>0</v>
      </c>
      <c r="I13" s="138">
        <f>SUMIF(I4:I7,"&gt;0")</f>
        <v>0</v>
      </c>
      <c r="J13" s="138">
        <f t="shared" ref="J13:R13" si="12">SUMIF(J4:J10,"&gt;0")</f>
        <v>0</v>
      </c>
      <c r="K13" s="138">
        <f t="shared" si="12"/>
        <v>0</v>
      </c>
      <c r="L13" s="138">
        <f t="shared" si="12"/>
        <v>0</v>
      </c>
      <c r="M13" s="138">
        <f t="shared" si="12"/>
        <v>0</v>
      </c>
      <c r="N13" s="138">
        <f t="shared" si="12"/>
        <v>0</v>
      </c>
      <c r="O13" s="138">
        <f t="shared" si="12"/>
        <v>0</v>
      </c>
      <c r="P13" s="138">
        <f t="shared" si="12"/>
        <v>0</v>
      </c>
      <c r="Q13" s="138">
        <f t="shared" si="12"/>
        <v>0</v>
      </c>
      <c r="R13" s="138">
        <f t="shared" si="12"/>
        <v>0</v>
      </c>
      <c r="S13" s="138">
        <f>SUMIF(S4:S7,"&gt;0")</f>
        <v>0</v>
      </c>
      <c r="T13" s="139"/>
      <c r="U13" s="143">
        <f>SUMIF(U4:U7,"&gt;0)")</f>
        <v>0</v>
      </c>
      <c r="V13" s="143">
        <f>SUMIF(V4:V7,"&gt;0")</f>
        <v>0</v>
      </c>
      <c r="W13" s="143">
        <f>SUMIF(W4:W7,"&gt;0")</f>
        <v>0</v>
      </c>
      <c r="X13" s="139">
        <f t="shared" ref="X13:AG13" si="13">SUMIF(X4:X10,"&gt;0")</f>
        <v>0</v>
      </c>
      <c r="Y13" s="139">
        <f t="shared" si="13"/>
        <v>0</v>
      </c>
      <c r="Z13" s="139">
        <f t="shared" si="13"/>
        <v>0</v>
      </c>
      <c r="AA13" s="139">
        <f t="shared" si="13"/>
        <v>0</v>
      </c>
      <c r="AB13" s="139">
        <f t="shared" si="13"/>
        <v>0</v>
      </c>
      <c r="AC13" s="139">
        <f t="shared" si="13"/>
        <v>0</v>
      </c>
      <c r="AD13" s="139">
        <f t="shared" si="13"/>
        <v>0</v>
      </c>
      <c r="AE13" s="139">
        <f t="shared" si="13"/>
        <v>0</v>
      </c>
      <c r="AF13" s="139">
        <f t="shared" si="13"/>
        <v>0</v>
      </c>
      <c r="AG13" s="139">
        <f t="shared" si="13"/>
        <v>0</v>
      </c>
      <c r="AI13" s="139">
        <f t="shared" ref="AI13:BD13" si="14">SUMIF(AI4:AI10,"&gt;0")</f>
        <v>0</v>
      </c>
      <c r="AJ13" s="139">
        <f t="shared" si="14"/>
        <v>0</v>
      </c>
      <c r="AK13" s="139">
        <f t="shared" si="14"/>
        <v>0</v>
      </c>
      <c r="AL13" s="139">
        <f t="shared" si="14"/>
        <v>0</v>
      </c>
      <c r="AM13" s="139">
        <f t="shared" si="14"/>
        <v>0</v>
      </c>
      <c r="AN13" s="139">
        <f t="shared" si="14"/>
        <v>0</v>
      </c>
      <c r="AO13" s="139">
        <f t="shared" si="14"/>
        <v>0</v>
      </c>
      <c r="AP13" s="139">
        <f t="shared" si="14"/>
        <v>0</v>
      </c>
      <c r="AQ13" s="139">
        <f t="shared" si="14"/>
        <v>0</v>
      </c>
      <c r="AR13" s="139">
        <f t="shared" si="14"/>
        <v>0</v>
      </c>
      <c r="AS13" s="139">
        <f t="shared" si="14"/>
        <v>0</v>
      </c>
      <c r="AT13" s="139">
        <f t="shared" si="14"/>
        <v>0</v>
      </c>
      <c r="AU13" s="139">
        <f t="shared" si="14"/>
        <v>0</v>
      </c>
      <c r="AV13" s="139">
        <f t="shared" si="14"/>
        <v>0</v>
      </c>
      <c r="AW13" s="139">
        <f t="shared" si="14"/>
        <v>0</v>
      </c>
      <c r="AX13" s="139">
        <f t="shared" si="14"/>
        <v>0</v>
      </c>
      <c r="AY13" s="139">
        <f t="shared" si="14"/>
        <v>0</v>
      </c>
      <c r="AZ13" s="139">
        <f t="shared" si="14"/>
        <v>0</v>
      </c>
      <c r="BA13" s="139">
        <f t="shared" si="14"/>
        <v>0</v>
      </c>
      <c r="BB13" s="139">
        <f t="shared" si="14"/>
        <v>0</v>
      </c>
      <c r="BC13" s="139">
        <f t="shared" si="14"/>
        <v>0</v>
      </c>
      <c r="BD13" s="139">
        <f t="shared" si="14"/>
        <v>0</v>
      </c>
    </row>
    <row r="14" spans="1:73" ht="15" thickBot="1">
      <c r="A14" s="146" t="s">
        <v>223</v>
      </c>
      <c r="B14" s="147"/>
      <c r="C14" s="147">
        <f>SUM(C4:C13)</f>
        <v>1</v>
      </c>
      <c r="D14" s="147"/>
      <c r="E14" s="147"/>
      <c r="F14" s="147">
        <f t="shared" ref="F14:S14" si="15">SUMIF(F4:F7,"&lt;0")</f>
        <v>0</v>
      </c>
      <c r="G14" s="147">
        <f t="shared" si="15"/>
        <v>0</v>
      </c>
      <c r="H14" s="147">
        <f t="shared" si="15"/>
        <v>0</v>
      </c>
      <c r="I14" s="147">
        <f t="shared" si="15"/>
        <v>0</v>
      </c>
      <c r="J14" s="147">
        <f t="shared" si="15"/>
        <v>0</v>
      </c>
      <c r="K14" s="147">
        <f t="shared" si="15"/>
        <v>0</v>
      </c>
      <c r="L14" s="147">
        <f t="shared" si="15"/>
        <v>0</v>
      </c>
      <c r="M14" s="147">
        <f t="shared" si="15"/>
        <v>0</v>
      </c>
      <c r="N14" s="147">
        <f t="shared" si="15"/>
        <v>0</v>
      </c>
      <c r="O14" s="147">
        <f t="shared" si="15"/>
        <v>0</v>
      </c>
      <c r="P14" s="147">
        <f t="shared" si="15"/>
        <v>0</v>
      </c>
      <c r="Q14" s="147">
        <f t="shared" si="15"/>
        <v>0</v>
      </c>
      <c r="R14" s="147">
        <f t="shared" si="15"/>
        <v>0</v>
      </c>
      <c r="S14" s="147">
        <f t="shared" si="15"/>
        <v>0</v>
      </c>
      <c r="T14" s="147"/>
      <c r="U14" s="148">
        <f>SUMIF(U4:U7,"&lt;0")</f>
        <v>0</v>
      </c>
      <c r="V14" s="148">
        <f>SUMIF(V4:V7,"&lt;0")</f>
        <v>0</v>
      </c>
      <c r="W14" s="148">
        <f>SUMIF(W4:W7,"&lt;0")</f>
        <v>0</v>
      </c>
      <c r="X14" s="147">
        <f>SUMIF(X4:X7,"&lt;0")</f>
        <v>0</v>
      </c>
      <c r="Y14" s="147">
        <f t="shared" ref="Y14:AF14" si="16">SUMIF(Y5:Y11,"&lt;0")</f>
        <v>0</v>
      </c>
      <c r="Z14" s="147">
        <f t="shared" si="16"/>
        <v>0</v>
      </c>
      <c r="AA14" s="147">
        <f t="shared" si="16"/>
        <v>0</v>
      </c>
      <c r="AB14" s="147">
        <f t="shared" si="16"/>
        <v>0</v>
      </c>
      <c r="AC14" s="147">
        <f t="shared" si="16"/>
        <v>0</v>
      </c>
      <c r="AD14" s="147">
        <f t="shared" si="16"/>
        <v>0</v>
      </c>
      <c r="AE14" s="147">
        <f t="shared" si="16"/>
        <v>0</v>
      </c>
      <c r="AF14" s="147">
        <f t="shared" si="16"/>
        <v>0</v>
      </c>
      <c r="AG14" s="147">
        <f>SUMIF(AG4:AG7,"&lt;0")</f>
        <v>0</v>
      </c>
      <c r="AI14" s="147">
        <f t="shared" ref="AI14:BD14" si="17">SUMIF(AI5:AI11,"&lt;0")</f>
        <v>0</v>
      </c>
      <c r="AJ14" s="147">
        <f t="shared" si="17"/>
        <v>0</v>
      </c>
      <c r="AK14" s="147">
        <f t="shared" si="17"/>
        <v>0</v>
      </c>
      <c r="AL14" s="147">
        <f t="shared" si="17"/>
        <v>0</v>
      </c>
      <c r="AM14" s="147">
        <f t="shared" si="17"/>
        <v>0</v>
      </c>
      <c r="AN14" s="147">
        <f t="shared" si="17"/>
        <v>0</v>
      </c>
      <c r="AO14" s="147">
        <f t="shared" si="17"/>
        <v>0</v>
      </c>
      <c r="AP14" s="147">
        <f t="shared" si="17"/>
        <v>0</v>
      </c>
      <c r="AQ14" s="147">
        <f t="shared" si="17"/>
        <v>0</v>
      </c>
      <c r="AR14" s="147">
        <f t="shared" si="17"/>
        <v>0</v>
      </c>
      <c r="AS14" s="147">
        <f t="shared" si="17"/>
        <v>0</v>
      </c>
      <c r="AT14" s="147">
        <f t="shared" si="17"/>
        <v>0</v>
      </c>
      <c r="AU14" s="147">
        <f t="shared" si="17"/>
        <v>0</v>
      </c>
      <c r="AV14" s="147">
        <f t="shared" si="17"/>
        <v>0</v>
      </c>
      <c r="AW14" s="147">
        <f t="shared" si="17"/>
        <v>0</v>
      </c>
      <c r="AX14" s="147">
        <f t="shared" si="17"/>
        <v>0</v>
      </c>
      <c r="AY14" s="147">
        <f t="shared" si="17"/>
        <v>0</v>
      </c>
      <c r="AZ14" s="147">
        <f t="shared" si="17"/>
        <v>0</v>
      </c>
      <c r="BA14" s="147">
        <f t="shared" si="17"/>
        <v>0</v>
      </c>
      <c r="BB14" s="147">
        <f t="shared" si="17"/>
        <v>0</v>
      </c>
      <c r="BC14" s="147">
        <f t="shared" si="17"/>
        <v>0</v>
      </c>
      <c r="BD14" s="147">
        <f t="shared" si="17"/>
        <v>0</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J24"/>
  <sheetViews>
    <sheetView workbookViewId="0">
      <selection activeCell="B9" sqref="B9"/>
    </sheetView>
  </sheetViews>
  <sheetFormatPr defaultRowHeight="14.4"/>
  <cols>
    <col min="1" max="1" width="23.109375" customWidth="1"/>
    <col min="2" max="2" width="65.109375" bestFit="1" customWidth="1"/>
    <col min="3" max="4" width="11.5546875" bestFit="1" customWidth="1"/>
    <col min="6" max="6" width="10.5546875" bestFit="1" customWidth="1"/>
    <col min="7" max="7" width="10.88671875" bestFit="1" customWidth="1"/>
    <col min="9" max="9" width="9.6640625" bestFit="1" customWidth="1"/>
    <col min="10" max="10" width="14.109375" bestFit="1" customWidth="1"/>
  </cols>
  <sheetData>
    <row r="4" spans="1:10">
      <c r="B4" s="151"/>
      <c r="C4" s="15"/>
      <c r="D4" s="15"/>
    </row>
    <row r="5" spans="1:10">
      <c r="C5" s="109"/>
      <c r="E5" s="152"/>
    </row>
    <row r="6" spans="1:10">
      <c r="D6" s="109"/>
      <c r="E6" s="152"/>
    </row>
    <row r="7" spans="1:10">
      <c r="D7" s="109"/>
    </row>
    <row r="8" spans="1:10">
      <c r="D8" s="109"/>
    </row>
    <row r="9" spans="1:10">
      <c r="D9" s="109"/>
    </row>
    <row r="10" spans="1:10">
      <c r="B10" s="151"/>
      <c r="C10" s="15"/>
      <c r="D10" s="15"/>
    </row>
    <row r="11" spans="1:10">
      <c r="A11" s="96"/>
      <c r="C11" s="153"/>
      <c r="D11" s="153"/>
      <c r="I11" s="124"/>
      <c r="J11" s="124"/>
    </row>
    <row r="12" spans="1:10">
      <c r="A12" s="96"/>
      <c r="C12" s="153"/>
      <c r="D12" s="153"/>
    </row>
    <row r="13" spans="1:10">
      <c r="C13" s="153"/>
      <c r="D13" s="153"/>
      <c r="E13" s="152"/>
    </row>
    <row r="14" spans="1:10">
      <c r="C14" s="153"/>
      <c r="D14" s="153"/>
      <c r="E14" s="152"/>
    </row>
    <row r="15" spans="1:10">
      <c r="A15" s="96"/>
      <c r="D15" s="112"/>
    </row>
    <row r="17" spans="2:6">
      <c r="B17" s="15"/>
      <c r="C17" s="112"/>
      <c r="D17" s="112"/>
      <c r="F17" s="112"/>
    </row>
    <row r="18" spans="2:6">
      <c r="B18" s="15"/>
      <c r="C18" s="112"/>
      <c r="D18" s="112"/>
      <c r="F18" s="112"/>
    </row>
    <row r="19" spans="2:6">
      <c r="B19" s="15"/>
      <c r="C19" s="112"/>
      <c r="D19" s="112"/>
      <c r="F19" s="112"/>
    </row>
    <row r="20" spans="2:6">
      <c r="B20" s="151"/>
      <c r="C20" s="15"/>
      <c r="D20" s="15"/>
    </row>
    <row r="21" spans="2:6">
      <c r="C21" s="153"/>
    </row>
    <row r="22" spans="2:6">
      <c r="D22" s="154"/>
    </row>
    <row r="23" spans="2:6">
      <c r="C23" s="112"/>
    </row>
    <row r="24" spans="2:6">
      <c r="B24" s="155"/>
      <c r="C24" s="112"/>
      <c r="D24" s="11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9D56-852B-4100-980C-63390BB83D16}">
  <dimension ref="A1:N41"/>
  <sheetViews>
    <sheetView showGridLines="0" workbookViewId="0">
      <selection activeCell="B27" sqref="B27"/>
    </sheetView>
  </sheetViews>
  <sheetFormatPr defaultRowHeight="14.4"/>
  <cols>
    <col min="1" max="1" width="31.33203125" bestFit="1" customWidth="1"/>
    <col min="2" max="2" width="19.5546875" customWidth="1"/>
    <col min="3" max="3" width="2.6640625" customWidth="1"/>
    <col min="4" max="4" width="13.44140625" bestFit="1" customWidth="1"/>
    <col min="5" max="5" width="5.33203125" customWidth="1"/>
    <col min="6" max="6" width="12.44140625" bestFit="1" customWidth="1"/>
    <col min="7" max="7" width="2.6640625" customWidth="1"/>
    <col min="8" max="8" width="14.5546875" bestFit="1" customWidth="1"/>
    <col min="9" max="9" width="4.44140625" customWidth="1"/>
    <col min="10" max="10" width="16.33203125" bestFit="1" customWidth="1"/>
    <col min="12" max="12" width="10.5546875" bestFit="1" customWidth="1"/>
    <col min="14" max="14" width="13.33203125" bestFit="1" customWidth="1"/>
    <col min="15" max="16" width="11.5546875" bestFit="1" customWidth="1"/>
  </cols>
  <sheetData>
    <row r="1" spans="1:12">
      <c r="A1" s="15"/>
    </row>
    <row r="2" spans="1:12">
      <c r="A2" s="15" t="s">
        <v>240</v>
      </c>
    </row>
    <row r="3" spans="1:12">
      <c r="A3" s="15" t="s">
        <v>226</v>
      </c>
    </row>
    <row r="5" spans="1:12">
      <c r="A5" s="15"/>
    </row>
    <row r="6" spans="1:12">
      <c r="A6" s="15" t="s">
        <v>227</v>
      </c>
    </row>
    <row r="7" spans="1:12">
      <c r="A7" s="156"/>
      <c r="B7" s="236">
        <v>2023</v>
      </c>
      <c r="C7" s="236"/>
      <c r="D7" s="236"/>
      <c r="E7" s="236"/>
      <c r="F7" s="236"/>
      <c r="G7" s="236"/>
      <c r="H7" s="236"/>
    </row>
    <row r="8" spans="1:12">
      <c r="A8" s="156"/>
      <c r="B8" s="157"/>
      <c r="C8" s="157"/>
      <c r="D8" s="157"/>
      <c r="E8" s="157"/>
      <c r="F8" s="157"/>
      <c r="G8" s="157"/>
      <c r="H8" s="157"/>
    </row>
    <row r="9" spans="1:12">
      <c r="A9" s="156"/>
      <c r="B9" s="157" t="s">
        <v>228</v>
      </c>
      <c r="C9" s="157"/>
      <c r="D9" s="157"/>
      <c r="E9" s="157"/>
      <c r="F9" s="157"/>
      <c r="G9" s="157"/>
      <c r="H9" s="157" t="s">
        <v>228</v>
      </c>
    </row>
    <row r="10" spans="1:12">
      <c r="A10" s="156"/>
      <c r="B10" s="158">
        <v>44742</v>
      </c>
      <c r="C10" s="159"/>
      <c r="D10" s="160" t="s">
        <v>229</v>
      </c>
      <c r="E10" s="156"/>
      <c r="F10" s="160" t="s">
        <v>230</v>
      </c>
      <c r="G10" s="156"/>
      <c r="H10" s="158">
        <v>45107</v>
      </c>
    </row>
    <row r="11" spans="1:12">
      <c r="A11" s="156" t="s">
        <v>241</v>
      </c>
      <c r="B11" s="156"/>
      <c r="C11" s="156"/>
      <c r="D11" s="156"/>
      <c r="E11" s="156"/>
      <c r="F11" s="156"/>
      <c r="G11" s="156"/>
      <c r="H11" s="156"/>
    </row>
    <row r="12" spans="1:12">
      <c r="A12" s="161" t="s">
        <v>233</v>
      </c>
      <c r="B12" s="162">
        <v>0</v>
      </c>
      <c r="C12" s="163"/>
      <c r="D12" s="162">
        <v>0</v>
      </c>
      <c r="E12" s="163"/>
      <c r="F12" s="162">
        <v>0</v>
      </c>
      <c r="G12" s="163"/>
      <c r="H12" s="162">
        <f>SUM(B12:F12)</f>
        <v>0</v>
      </c>
    </row>
    <row r="13" spans="1:12">
      <c r="A13" s="161" t="s">
        <v>242</v>
      </c>
      <c r="B13" s="164">
        <v>0</v>
      </c>
      <c r="C13" s="163"/>
      <c r="D13" s="165">
        <v>0</v>
      </c>
      <c r="E13" s="166"/>
      <c r="F13" s="164">
        <v>0</v>
      </c>
      <c r="G13" s="163"/>
      <c r="H13" s="164">
        <f>SUM(B13:F13)</f>
        <v>0</v>
      </c>
    </row>
    <row r="14" spans="1:12">
      <c r="A14" s="161"/>
      <c r="B14" s="164"/>
      <c r="C14" s="163"/>
      <c r="D14" s="165"/>
      <c r="E14" s="166"/>
      <c r="F14" s="164"/>
      <c r="G14" s="163"/>
      <c r="H14" s="164"/>
    </row>
    <row r="15" spans="1:12">
      <c r="A15" s="156" t="s">
        <v>231</v>
      </c>
      <c r="B15" s="167">
        <f>SUM(B12:B13)</f>
        <v>0</v>
      </c>
      <c r="C15" s="168"/>
      <c r="D15" s="169">
        <f>SUM(D12:D13)</f>
        <v>0</v>
      </c>
      <c r="E15" s="168"/>
      <c r="F15" s="167">
        <f>SUM(F12:F13)</f>
        <v>0</v>
      </c>
      <c r="G15" s="168"/>
      <c r="H15" s="167">
        <f>SUM(H12:H13)</f>
        <v>0</v>
      </c>
      <c r="L15" s="170"/>
    </row>
    <row r="16" spans="1:12">
      <c r="A16" s="156"/>
      <c r="B16" s="164"/>
      <c r="C16" s="168"/>
      <c r="D16" s="165"/>
      <c r="E16" s="168"/>
      <c r="F16" s="164"/>
      <c r="G16" s="168"/>
      <c r="H16" s="164"/>
      <c r="L16" s="170"/>
    </row>
    <row r="17" spans="1:14">
      <c r="A17" s="156" t="s">
        <v>232</v>
      </c>
      <c r="B17" s="171"/>
      <c r="C17" s="168"/>
      <c r="D17" s="172"/>
      <c r="E17" s="168"/>
      <c r="F17" s="171"/>
      <c r="G17" s="168"/>
      <c r="H17" s="171"/>
    </row>
    <row r="18" spans="1:14">
      <c r="A18" s="161" t="s">
        <v>233</v>
      </c>
      <c r="B18" s="168">
        <v>0</v>
      </c>
      <c r="C18" s="168"/>
      <c r="D18" s="173">
        <v>0</v>
      </c>
      <c r="E18" s="168"/>
      <c r="F18" s="168">
        <v>0</v>
      </c>
      <c r="G18" s="168"/>
      <c r="H18" s="164">
        <f>SUM(B18:F18)</f>
        <v>0</v>
      </c>
    </row>
    <row r="19" spans="1:14">
      <c r="A19" s="161" t="s">
        <v>242</v>
      </c>
      <c r="B19" s="168">
        <v>0</v>
      </c>
      <c r="C19" s="168"/>
      <c r="D19" s="173">
        <v>0</v>
      </c>
      <c r="E19" s="168"/>
      <c r="F19" s="168">
        <v>0</v>
      </c>
      <c r="G19" s="168"/>
      <c r="H19" s="164">
        <f>SUM(B19:F19)</f>
        <v>0</v>
      </c>
    </row>
    <row r="20" spans="1:14">
      <c r="A20" s="156" t="s">
        <v>234</v>
      </c>
      <c r="B20" s="169">
        <f>SUM(B18:B19)</f>
        <v>0</v>
      </c>
      <c r="C20" s="168"/>
      <c r="D20" s="169">
        <f>SUM(D18:D19)</f>
        <v>0</v>
      </c>
      <c r="E20" s="168"/>
      <c r="F20" s="169">
        <f>SUM(F18:F19)</f>
        <v>0</v>
      </c>
      <c r="G20" s="168"/>
      <c r="H20" s="169">
        <f>SUM(H18:H19)</f>
        <v>0</v>
      </c>
    </row>
    <row r="21" spans="1:14" hidden="1">
      <c r="A21" s="156"/>
      <c r="B21" s="168"/>
      <c r="C21" s="168"/>
      <c r="D21" s="173"/>
      <c r="E21" s="168"/>
      <c r="F21" s="168"/>
      <c r="G21" s="168"/>
      <c r="H21" s="168"/>
    </row>
    <row r="22" spans="1:14" ht="15" thickBot="1">
      <c r="A22" s="156" t="s">
        <v>235</v>
      </c>
      <c r="B22" s="174">
        <f>+B15+B20</f>
        <v>0</v>
      </c>
      <c r="C22" s="163"/>
      <c r="D22" s="174">
        <f>+D20+D15</f>
        <v>0</v>
      </c>
      <c r="E22" s="163"/>
      <c r="F22" s="174">
        <f>+F20+F15</f>
        <v>0</v>
      </c>
      <c r="G22" s="163"/>
      <c r="H22" s="174">
        <f>+H20+H15</f>
        <v>0</v>
      </c>
      <c r="K22" s="115"/>
    </row>
    <row r="23" spans="1:14" ht="15" thickTop="1">
      <c r="A23" s="156"/>
      <c r="B23" s="163"/>
      <c r="C23" s="163"/>
      <c r="D23" s="175"/>
      <c r="E23" s="163"/>
      <c r="F23" s="163"/>
      <c r="G23" s="163"/>
      <c r="H23" s="163"/>
      <c r="K23" s="115"/>
      <c r="N23" s="80"/>
    </row>
    <row r="27" spans="1:14">
      <c r="B27" s="157"/>
    </row>
    <row r="28" spans="1:14" ht="15.6">
      <c r="B28" s="237">
        <v>2023</v>
      </c>
      <c r="C28" s="237"/>
      <c r="D28" s="237"/>
      <c r="E28" s="237"/>
      <c r="F28" s="237"/>
      <c r="G28" s="237"/>
      <c r="H28" s="237"/>
      <c r="I28" s="237"/>
      <c r="J28" s="237"/>
    </row>
    <row r="29" spans="1:14" ht="15.6">
      <c r="B29" s="157"/>
      <c r="C29" s="177"/>
      <c r="D29" s="177"/>
      <c r="E29" s="177"/>
      <c r="F29" s="177"/>
      <c r="G29" s="177"/>
      <c r="H29" s="177"/>
      <c r="I29" s="177"/>
      <c r="J29" s="177"/>
    </row>
    <row r="30" spans="1:14" ht="15.6">
      <c r="A30" s="178"/>
      <c r="B30" s="177" t="s">
        <v>228</v>
      </c>
      <c r="C30" s="177"/>
      <c r="D30" s="177"/>
      <c r="E30" s="177"/>
      <c r="F30" s="177"/>
      <c r="G30" s="177"/>
      <c r="H30" s="177" t="s">
        <v>228</v>
      </c>
      <c r="I30" s="177"/>
      <c r="J30" s="177" t="s">
        <v>236</v>
      </c>
    </row>
    <row r="31" spans="1:14" ht="15.6">
      <c r="A31" s="178"/>
      <c r="B31" s="158">
        <v>44742</v>
      </c>
      <c r="C31" s="177"/>
      <c r="D31" s="176" t="s">
        <v>229</v>
      </c>
      <c r="E31" s="177"/>
      <c r="F31" s="176" t="s">
        <v>237</v>
      </c>
      <c r="G31" s="177"/>
      <c r="H31" s="158">
        <v>45107</v>
      </c>
      <c r="I31" s="177"/>
      <c r="J31" s="176" t="s">
        <v>238</v>
      </c>
    </row>
    <row r="32" spans="1:14" ht="15.6">
      <c r="A32" s="178" t="s">
        <v>243</v>
      </c>
      <c r="B32" s="179">
        <v>0</v>
      </c>
      <c r="C32" s="180"/>
      <c r="D32" s="180">
        <v>0</v>
      </c>
      <c r="E32" s="180"/>
      <c r="F32" s="180">
        <v>0</v>
      </c>
      <c r="G32" s="180"/>
      <c r="H32" s="180">
        <f>+B32+D32-F32</f>
        <v>0</v>
      </c>
      <c r="I32" s="180"/>
      <c r="J32" s="181">
        <v>0</v>
      </c>
    </row>
    <row r="33" spans="1:12" ht="16.2" thickBot="1">
      <c r="A33" s="178"/>
      <c r="B33" s="182">
        <f>SUM(B32)</f>
        <v>0</v>
      </c>
      <c r="C33" s="178"/>
      <c r="D33" s="183">
        <f>SUM(D32)</f>
        <v>0</v>
      </c>
      <c r="E33" s="178"/>
      <c r="F33" s="183">
        <f>SUM(F32)</f>
        <v>0</v>
      </c>
      <c r="G33" s="178"/>
      <c r="H33" s="183">
        <f>SUM(H32)</f>
        <v>0</v>
      </c>
      <c r="I33" s="178"/>
      <c r="J33" s="183">
        <f>SUM(J32)</f>
        <v>0</v>
      </c>
      <c r="L33" s="184"/>
    </row>
    <row r="34" spans="1:12" ht="15" thickTop="1"/>
    <row r="41" spans="1:12">
      <c r="A41" t="s">
        <v>239</v>
      </c>
    </row>
  </sheetData>
  <mergeCells count="2">
    <mergeCell ref="B7:H7"/>
    <mergeCell ref="B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2:C6"/>
  <sheetViews>
    <sheetView workbookViewId="0">
      <selection activeCell="B26" sqref="B26"/>
    </sheetView>
  </sheetViews>
  <sheetFormatPr defaultRowHeight="14.4"/>
  <cols>
    <col min="1" max="1" width="46.6640625" customWidth="1"/>
    <col min="2" max="2" width="61.33203125" customWidth="1"/>
    <col min="3" max="3" width="44.109375" customWidth="1"/>
  </cols>
  <sheetData>
    <row r="2" spans="1:3">
      <c r="A2" s="105" t="s">
        <v>41</v>
      </c>
      <c r="B2" s="105" t="s">
        <v>154</v>
      </c>
      <c r="C2" s="105" t="s">
        <v>155</v>
      </c>
    </row>
    <row r="3" spans="1:3">
      <c r="A3" t="s">
        <v>204</v>
      </c>
      <c r="B3" t="s">
        <v>205</v>
      </c>
    </row>
    <row r="4" spans="1:3">
      <c r="A4" t="s">
        <v>206</v>
      </c>
      <c r="B4" t="s">
        <v>207</v>
      </c>
      <c r="C4" t="s">
        <v>208</v>
      </c>
    </row>
    <row r="5" spans="1:3">
      <c r="A5" t="s">
        <v>209</v>
      </c>
      <c r="B5" t="s">
        <v>210</v>
      </c>
      <c r="C5" t="s">
        <v>211</v>
      </c>
    </row>
    <row r="6" spans="1:3">
      <c r="A6" t="s">
        <v>212</v>
      </c>
      <c r="B6" t="s">
        <v>213</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11"/>
  <sheetViews>
    <sheetView showGridLines="0" workbookViewId="0">
      <selection activeCell="A12" sqref="A12"/>
    </sheetView>
  </sheetViews>
  <sheetFormatPr defaultRowHeight="14.4"/>
  <cols>
    <col min="1" max="1" width="31.33203125" customWidth="1"/>
  </cols>
  <sheetData>
    <row r="1" spans="1:2">
      <c r="A1" s="7" t="s">
        <v>17</v>
      </c>
    </row>
    <row r="2" spans="1:2">
      <c r="A2" s="15" t="s">
        <v>19</v>
      </c>
      <c r="B2" s="15" t="s">
        <v>62</v>
      </c>
    </row>
    <row r="3" spans="1:2">
      <c r="A3" s="15" t="s">
        <v>20</v>
      </c>
      <c r="B3" s="15" t="s">
        <v>63</v>
      </c>
    </row>
    <row r="4" spans="1:2">
      <c r="A4" s="15" t="s">
        <v>50</v>
      </c>
      <c r="B4" s="15" t="s">
        <v>61</v>
      </c>
    </row>
    <row r="5" spans="1:2">
      <c r="A5" s="15" t="s">
        <v>156</v>
      </c>
      <c r="B5" s="15" t="s">
        <v>61</v>
      </c>
    </row>
    <row r="6" spans="1:2">
      <c r="A6" s="69" t="s">
        <v>11</v>
      </c>
      <c r="B6" s="69" t="s">
        <v>49</v>
      </c>
    </row>
    <row r="7" spans="1:2">
      <c r="A7" s="69" t="s">
        <v>12</v>
      </c>
      <c r="B7" s="69" t="s">
        <v>49</v>
      </c>
    </row>
    <row r="8" spans="1:2">
      <c r="A8" s="69" t="s">
        <v>18</v>
      </c>
      <c r="B8" s="69" t="s">
        <v>49</v>
      </c>
    </row>
    <row r="9" spans="1:2">
      <c r="A9" s="69" t="s">
        <v>13</v>
      </c>
      <c r="B9" s="69" t="s">
        <v>49</v>
      </c>
    </row>
    <row r="10" spans="1:2">
      <c r="A10" s="69" t="s">
        <v>14</v>
      </c>
      <c r="B10" s="69" t="s">
        <v>49</v>
      </c>
    </row>
    <row r="11" spans="1:2">
      <c r="A11" s="6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75"/>
  <sheetViews>
    <sheetView showGridLines="0" workbookViewId="0">
      <selection activeCell="A5" sqref="A5"/>
    </sheetView>
  </sheetViews>
  <sheetFormatPr defaultRowHeight="14.4"/>
  <cols>
    <col min="1" max="1" width="90.44140625" customWidth="1"/>
  </cols>
  <sheetData>
    <row r="1" spans="1:1" ht="28.8">
      <c r="A1" s="16" t="s">
        <v>58</v>
      </c>
    </row>
    <row r="3" spans="1:1" ht="28.8">
      <c r="A3" s="16" t="s">
        <v>59</v>
      </c>
    </row>
    <row r="4" spans="1:1">
      <c r="A4" s="16"/>
    </row>
    <row r="5" spans="1:1" ht="86.4">
      <c r="A5" s="16" t="s">
        <v>60</v>
      </c>
    </row>
    <row r="7" spans="1:1" ht="57.6">
      <c r="A7" s="28" t="s">
        <v>64</v>
      </c>
    </row>
    <row r="9" spans="1:1" ht="43.2">
      <c r="A9" s="16" t="s">
        <v>105</v>
      </c>
    </row>
    <row r="10" spans="1:1" ht="28.8">
      <c r="A10" s="79" t="s">
        <v>103</v>
      </c>
    </row>
    <row r="11" spans="1:1" ht="28.8">
      <c r="A11" s="79" t="s">
        <v>104</v>
      </c>
    </row>
    <row r="14" spans="1:1">
      <c r="A14" s="96" t="s">
        <v>132</v>
      </c>
    </row>
    <row r="15" spans="1:1">
      <c r="A15" s="97" t="s">
        <v>133</v>
      </c>
    </row>
    <row r="16" spans="1:1">
      <c r="A16" s="97" t="s">
        <v>134</v>
      </c>
    </row>
    <row r="17" spans="1:1">
      <c r="A17" s="97" t="s">
        <v>135</v>
      </c>
    </row>
    <row r="18" spans="1:1">
      <c r="A18" s="98" t="s">
        <v>122</v>
      </c>
    </row>
    <row r="19" spans="1:1">
      <c r="A19" s="98" t="s">
        <v>123</v>
      </c>
    </row>
    <row r="20" spans="1:1">
      <c r="A20" s="97" t="s">
        <v>157</v>
      </c>
    </row>
    <row r="21" spans="1:1">
      <c r="A21" s="97" t="s">
        <v>136</v>
      </c>
    </row>
    <row r="22" spans="1:1">
      <c r="A22" s="97" t="s">
        <v>137</v>
      </c>
    </row>
    <row r="23" spans="1:1">
      <c r="A23" s="98" t="s">
        <v>124</v>
      </c>
    </row>
    <row r="24" spans="1:1">
      <c r="A24" s="99" t="s">
        <v>138</v>
      </c>
    </row>
    <row r="25" spans="1:1">
      <c r="A25" s="100" t="s">
        <v>125</v>
      </c>
    </row>
    <row r="26" spans="1:1">
      <c r="A26" s="99" t="s">
        <v>159</v>
      </c>
    </row>
    <row r="27" spans="1:1">
      <c r="A27" s="99" t="s">
        <v>160</v>
      </c>
    </row>
    <row r="28" spans="1:1">
      <c r="A28" s="99" t="s">
        <v>161</v>
      </c>
    </row>
    <row r="29" spans="1:1">
      <c r="A29" s="99" t="s">
        <v>162</v>
      </c>
    </row>
    <row r="30" spans="1:1">
      <c r="A30" s="99" t="s">
        <v>163</v>
      </c>
    </row>
    <row r="31" spans="1:1">
      <c r="A31" s="97"/>
    </row>
    <row r="32" spans="1:1">
      <c r="A32" s="97" t="s">
        <v>176</v>
      </c>
    </row>
    <row r="33" spans="1:1">
      <c r="A33" s="99"/>
    </row>
    <row r="34" spans="1:1">
      <c r="A34" s="99" t="s">
        <v>164</v>
      </c>
    </row>
    <row r="35" spans="1:1">
      <c r="A35" s="99" t="s">
        <v>165</v>
      </c>
    </row>
    <row r="36" spans="1:1">
      <c r="A36" s="100" t="s">
        <v>126</v>
      </c>
    </row>
    <row r="37" spans="1:1">
      <c r="A37" s="101" t="s">
        <v>127</v>
      </c>
    </row>
    <row r="38" spans="1:1">
      <c r="A38" s="101" t="s">
        <v>128</v>
      </c>
    </row>
    <row r="39" spans="1:1">
      <c r="A39" s="101" t="s">
        <v>129</v>
      </c>
    </row>
    <row r="40" spans="1:1">
      <c r="A40" s="99" t="s">
        <v>166</v>
      </c>
    </row>
    <row r="41" spans="1:1">
      <c r="A41" s="99" t="s">
        <v>167</v>
      </c>
    </row>
    <row r="42" spans="1:1">
      <c r="A42" s="99" t="s">
        <v>168</v>
      </c>
    </row>
    <row r="43" spans="1:1">
      <c r="A43" s="99" t="s">
        <v>169</v>
      </c>
    </row>
    <row r="44" spans="1:1">
      <c r="A44" s="99"/>
    </row>
    <row r="45" spans="1:1">
      <c r="A45" s="97" t="s">
        <v>177</v>
      </c>
    </row>
    <row r="46" spans="1:1">
      <c r="A46" s="97"/>
    </row>
    <row r="47" spans="1:1">
      <c r="A47" s="99" t="s">
        <v>170</v>
      </c>
    </row>
    <row r="48" spans="1:1">
      <c r="A48" s="99" t="s">
        <v>171</v>
      </c>
    </row>
    <row r="49" spans="1:1">
      <c r="A49" s="100" t="s">
        <v>126</v>
      </c>
    </row>
    <row r="50" spans="1:1">
      <c r="A50" s="101" t="s">
        <v>127</v>
      </c>
    </row>
    <row r="51" spans="1:1">
      <c r="A51" s="101" t="s">
        <v>128</v>
      </c>
    </row>
    <row r="52" spans="1:1">
      <c r="A52" s="101" t="s">
        <v>129</v>
      </c>
    </row>
    <row r="53" spans="1:1">
      <c r="A53" s="99" t="s">
        <v>172</v>
      </c>
    </row>
    <row r="54" spans="1:1">
      <c r="A54" s="99" t="s">
        <v>173</v>
      </c>
    </row>
    <row r="55" spans="1:1">
      <c r="A55" s="99" t="s">
        <v>174</v>
      </c>
    </row>
    <row r="56" spans="1:1">
      <c r="A56" s="99" t="s">
        <v>175</v>
      </c>
    </row>
    <row r="57" spans="1:1">
      <c r="A57" s="96"/>
    </row>
    <row r="58" spans="1:1">
      <c r="A58" s="102" t="s">
        <v>178</v>
      </c>
    </row>
    <row r="59" spans="1:1">
      <c r="A59" s="102" t="s">
        <v>139</v>
      </c>
    </row>
    <row r="60" spans="1:1">
      <c r="A60" s="102" t="s">
        <v>140</v>
      </c>
    </row>
    <row r="61" spans="1:1">
      <c r="A61" s="102" t="s">
        <v>141</v>
      </c>
    </row>
    <row r="62" spans="1:1">
      <c r="A62" s="102" t="s">
        <v>142</v>
      </c>
    </row>
    <row r="63" spans="1:1">
      <c r="A63" s="103" t="s">
        <v>130</v>
      </c>
    </row>
    <row r="64" spans="1:1">
      <c r="A64" s="103" t="s">
        <v>131</v>
      </c>
    </row>
    <row r="65" spans="1:1">
      <c r="A65" s="102" t="s">
        <v>143</v>
      </c>
    </row>
    <row r="66" spans="1:1">
      <c r="A66" s="102" t="s">
        <v>144</v>
      </c>
    </row>
    <row r="67" spans="1:1">
      <c r="A67" s="102" t="s">
        <v>145</v>
      </c>
    </row>
    <row r="68" spans="1:1">
      <c r="A68" s="102" t="s">
        <v>146</v>
      </c>
    </row>
    <row r="69" spans="1:1">
      <c r="A69" s="102" t="s">
        <v>147</v>
      </c>
    </row>
    <row r="70" spans="1:1">
      <c r="A70" s="102" t="s">
        <v>151</v>
      </c>
    </row>
    <row r="71" spans="1:1">
      <c r="A71" s="102" t="s">
        <v>148</v>
      </c>
    </row>
    <row r="72" spans="1:1">
      <c r="A72" s="102" t="s">
        <v>149</v>
      </c>
    </row>
    <row r="73" spans="1:1">
      <c r="A73" s="102" t="s">
        <v>152</v>
      </c>
    </row>
    <row r="74" spans="1:1">
      <c r="A74" s="102" t="s">
        <v>150</v>
      </c>
    </row>
    <row r="75" spans="1:1">
      <c r="A75" s="9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0"/>
  <sheetViews>
    <sheetView showGridLines="0" workbookViewId="0">
      <selection activeCell="K8" sqref="K8"/>
    </sheetView>
  </sheetViews>
  <sheetFormatPr defaultRowHeight="14.4"/>
  <cols>
    <col min="2" max="2" width="9.6640625" bestFit="1" customWidth="1"/>
    <col min="4" max="4" width="11.5546875" bestFit="1" customWidth="1"/>
    <col min="8" max="8" width="11.5546875" bestFit="1" customWidth="1"/>
    <col min="9" max="9" width="9.5546875" bestFit="1" customWidth="1"/>
  </cols>
  <sheetData>
    <row r="1" spans="1:10">
      <c r="A1" s="69"/>
      <c r="B1" s="69"/>
      <c r="C1" s="69"/>
      <c r="D1" s="69"/>
      <c r="E1" s="83" t="s">
        <v>117</v>
      </c>
      <c r="F1" s="83"/>
      <c r="G1" s="69"/>
      <c r="H1" s="69"/>
      <c r="I1" s="69"/>
      <c r="J1" s="69"/>
    </row>
    <row r="2" spans="1:10">
      <c r="A2" s="69"/>
      <c r="B2" s="69"/>
      <c r="C2" s="69"/>
      <c r="D2" s="69"/>
      <c r="E2" s="69"/>
      <c r="F2" s="69"/>
      <c r="G2" s="69"/>
      <c r="H2" s="69"/>
      <c r="I2" s="69"/>
      <c r="J2" s="69"/>
    </row>
    <row r="3" spans="1:10">
      <c r="A3" s="193" t="s">
        <v>108</v>
      </c>
      <c r="B3" s="193"/>
      <c r="J3" s="69"/>
    </row>
    <row r="4" spans="1:10">
      <c r="A4" s="123" t="s">
        <v>109</v>
      </c>
      <c r="B4" s="123" t="s">
        <v>107</v>
      </c>
      <c r="J4" s="69"/>
    </row>
    <row r="5" spans="1:10">
      <c r="A5" s="86">
        <f>+Inventory!B2</f>
        <v>44743</v>
      </c>
      <c r="B5" s="86">
        <f>+Inventory!C2</f>
        <v>45107</v>
      </c>
      <c r="J5" s="69"/>
    </row>
    <row r="6" spans="1:10">
      <c r="J6" s="69"/>
    </row>
    <row r="7" spans="1:10">
      <c r="D7" s="194" t="s">
        <v>114</v>
      </c>
      <c r="E7" s="194"/>
      <c r="F7" s="87"/>
      <c r="G7" s="87"/>
      <c r="H7" s="194" t="s">
        <v>113</v>
      </c>
      <c r="I7" s="194"/>
      <c r="J7" s="69"/>
    </row>
    <row r="8" spans="1:10">
      <c r="D8" s="195"/>
      <c r="E8" s="195"/>
      <c r="F8" s="87"/>
      <c r="G8" s="87"/>
      <c r="H8" s="195"/>
      <c r="I8" s="195"/>
      <c r="J8" s="69"/>
    </row>
    <row r="9" spans="1:10">
      <c r="C9" s="1" t="s">
        <v>110</v>
      </c>
      <c r="D9" s="88" t="s">
        <v>1</v>
      </c>
      <c r="E9" s="88" t="s">
        <v>111</v>
      </c>
      <c r="G9" s="1" t="s">
        <v>110</v>
      </c>
      <c r="H9" s="88" t="s">
        <v>1</v>
      </c>
      <c r="I9" s="88" t="s">
        <v>111</v>
      </c>
      <c r="J9" s="69"/>
    </row>
    <row r="10" spans="1:10">
      <c r="A10" s="89">
        <f>+A5</f>
        <v>44743</v>
      </c>
      <c r="B10" s="89">
        <f>+B5</f>
        <v>45107</v>
      </c>
      <c r="C10" s="90">
        <f>+YEAR(B10)</f>
        <v>2023</v>
      </c>
      <c r="D10" s="91">
        <f>+SUM('BegTab:End Tab'!AC19)</f>
        <v>0</v>
      </c>
      <c r="E10" s="91">
        <f>+SUM('BegTab:End Tab'!AD19)</f>
        <v>0</v>
      </c>
      <c r="G10">
        <f>+C10</f>
        <v>2023</v>
      </c>
      <c r="H10" s="91">
        <f>+SUM('BegTab:End Tab'!AI19)</f>
        <v>0</v>
      </c>
      <c r="I10" s="91">
        <f>+SUM('BegTab:End Tab'!AJ19)</f>
        <v>0</v>
      </c>
      <c r="J10" s="69"/>
    </row>
    <row r="11" spans="1:10">
      <c r="A11" s="196" t="s">
        <v>118</v>
      </c>
      <c r="B11" s="196"/>
      <c r="C11" s="92"/>
      <c r="D11" s="93"/>
      <c r="E11" s="93"/>
      <c r="F11" s="92"/>
      <c r="G11" s="92"/>
      <c r="H11" s="93"/>
      <c r="I11" s="93"/>
      <c r="J11" s="69"/>
    </row>
    <row r="12" spans="1:10">
      <c r="A12" s="14">
        <f>DATE(YEAR(A10)+1,MONTH(A10),DAY(A10))</f>
        <v>45108</v>
      </c>
      <c r="B12" s="14">
        <f>DATE(YEAR(B10)+1,MONTH(B10),DAY(B10))</f>
        <v>45473</v>
      </c>
      <c r="C12">
        <f t="shared" ref="C12:C35" si="0">+YEAR(B12)</f>
        <v>2024</v>
      </c>
      <c r="D12" s="91">
        <f>+SUM('BegTab:End Tab'!AC20)</f>
        <v>0</v>
      </c>
      <c r="E12" s="91">
        <f>+SUM('BegTab:End Tab'!AD20)</f>
        <v>0</v>
      </c>
      <c r="G12">
        <f t="shared" ref="G12:G35" si="1">+C12</f>
        <v>2024</v>
      </c>
      <c r="H12" s="91">
        <f>+SUM('BegTab:End Tab'!AI20)</f>
        <v>0</v>
      </c>
      <c r="I12" s="91">
        <f>+SUM('BegTab:End Tab'!AJ20)</f>
        <v>0</v>
      </c>
      <c r="J12" s="69"/>
    </row>
    <row r="13" spans="1:10">
      <c r="A13" s="14">
        <f t="shared" ref="A13:B15" si="2">DATE(YEAR(A12)+1,MONTH(A12),DAY(A12))</f>
        <v>45474</v>
      </c>
      <c r="B13" s="14">
        <f t="shared" si="2"/>
        <v>45838</v>
      </c>
      <c r="C13">
        <f t="shared" si="0"/>
        <v>2025</v>
      </c>
      <c r="D13" s="91">
        <f>+SUM('BegTab:End Tab'!AC21)</f>
        <v>0</v>
      </c>
      <c r="E13" s="91">
        <f>+SUM('BegTab:End Tab'!AD21)</f>
        <v>0</v>
      </c>
      <c r="G13">
        <f t="shared" si="1"/>
        <v>2025</v>
      </c>
      <c r="H13" s="91">
        <f>+SUM('BegTab:End Tab'!AI21)</f>
        <v>0</v>
      </c>
      <c r="I13" s="91">
        <f>+SUM('BegTab:End Tab'!AJ21)</f>
        <v>0</v>
      </c>
      <c r="J13" s="69"/>
    </row>
    <row r="14" spans="1:10">
      <c r="A14" s="14">
        <f t="shared" si="2"/>
        <v>45839</v>
      </c>
      <c r="B14" s="14">
        <f t="shared" si="2"/>
        <v>46203</v>
      </c>
      <c r="C14">
        <f t="shared" si="0"/>
        <v>2026</v>
      </c>
      <c r="D14" s="91">
        <f>+SUM('BegTab:End Tab'!AC22)</f>
        <v>0</v>
      </c>
      <c r="E14" s="91">
        <f>+SUM('BegTab:End Tab'!AD22)</f>
        <v>0</v>
      </c>
      <c r="G14">
        <f t="shared" si="1"/>
        <v>2026</v>
      </c>
      <c r="H14" s="91">
        <f>+SUM('BegTab:End Tab'!AI22)</f>
        <v>0</v>
      </c>
      <c r="I14" s="91">
        <f>+SUM('BegTab:End Tab'!AJ22)</f>
        <v>0</v>
      </c>
      <c r="J14" s="69"/>
    </row>
    <row r="15" spans="1:10">
      <c r="A15" s="14">
        <f t="shared" si="2"/>
        <v>46204</v>
      </c>
      <c r="B15" s="14">
        <f>DATE(YEAR(B14)+1,MONTH(B14),DAY(B14))</f>
        <v>46568</v>
      </c>
      <c r="C15">
        <f t="shared" si="0"/>
        <v>2027</v>
      </c>
      <c r="D15" s="91">
        <f>+SUM('BegTab:End Tab'!AC23)</f>
        <v>0</v>
      </c>
      <c r="E15" s="91">
        <f>+SUM('BegTab:End Tab'!AD23)</f>
        <v>0</v>
      </c>
      <c r="G15">
        <f t="shared" si="1"/>
        <v>2027</v>
      </c>
      <c r="H15" s="91">
        <f>+SUM('BegTab:End Tab'!AI23)</f>
        <v>0</v>
      </c>
      <c r="I15" s="91">
        <f>+SUM('BegTab:End Tab'!AJ23)</f>
        <v>0</v>
      </c>
      <c r="J15" s="69"/>
    </row>
    <row r="16" spans="1:10">
      <c r="A16" s="14">
        <f>DATE(YEAR(A15)+1,MONTH(A15),DAY(A15))</f>
        <v>46569</v>
      </c>
      <c r="B16" s="14">
        <f>DATE(YEAR(B15)+1,MONTH(B15),DAY(B15))</f>
        <v>46934</v>
      </c>
      <c r="C16">
        <f t="shared" si="0"/>
        <v>2028</v>
      </c>
      <c r="D16" s="91">
        <f>+SUM('BegTab:End Tab'!AC24)</f>
        <v>0</v>
      </c>
      <c r="E16" s="91">
        <f>+SUM('BegTab:End Tab'!AD24)</f>
        <v>0</v>
      </c>
      <c r="G16">
        <f t="shared" si="1"/>
        <v>2028</v>
      </c>
      <c r="H16" s="91">
        <f>+SUM('BegTab:End Tab'!AI24)</f>
        <v>0</v>
      </c>
      <c r="I16" s="91">
        <f>+SUM('BegTab:End Tab'!AJ24)</f>
        <v>0</v>
      </c>
      <c r="J16" s="69"/>
    </row>
    <row r="17" spans="1:10">
      <c r="A17" s="14">
        <f>DATE(YEAR(A16)+1,MONTH(A16),DAY(A16))</f>
        <v>46935</v>
      </c>
      <c r="B17" s="14">
        <f t="shared" ref="B17:B35" si="3">DATE(YEAR(B16)+5,MONTH(B16),DAY(B16))</f>
        <v>48760</v>
      </c>
      <c r="C17">
        <f t="shared" si="0"/>
        <v>2033</v>
      </c>
      <c r="D17" s="91">
        <f>+SUM('BegTab:End Tab'!AC25)</f>
        <v>0</v>
      </c>
      <c r="E17" s="91">
        <f>+SUM('BegTab:End Tab'!AD25)</f>
        <v>0</v>
      </c>
      <c r="G17">
        <f t="shared" si="1"/>
        <v>2033</v>
      </c>
      <c r="H17" s="91">
        <f>+SUM('BegTab:End Tab'!AI25)</f>
        <v>0</v>
      </c>
      <c r="I17" s="91">
        <f>+SUM('BegTab:End Tab'!AJ25)</f>
        <v>0</v>
      </c>
      <c r="J17" s="69"/>
    </row>
    <row r="18" spans="1:10">
      <c r="A18" s="14">
        <f t="shared" ref="A18:A35" si="4">DATE(YEAR(A17)+5,MONTH(A17),DAY(A17))</f>
        <v>48761</v>
      </c>
      <c r="B18" s="14">
        <f t="shared" si="3"/>
        <v>50586</v>
      </c>
      <c r="C18">
        <f t="shared" si="0"/>
        <v>2038</v>
      </c>
      <c r="D18" s="91">
        <f>+SUM('BegTab:End Tab'!AC26)</f>
        <v>0</v>
      </c>
      <c r="E18" s="91">
        <f>+SUM('BegTab:End Tab'!AD26)</f>
        <v>0</v>
      </c>
      <c r="G18">
        <f t="shared" si="1"/>
        <v>2038</v>
      </c>
      <c r="H18" s="91">
        <f>+SUM('BegTab:End Tab'!AI26)</f>
        <v>0</v>
      </c>
      <c r="I18" s="91">
        <f>+SUM('BegTab:End Tab'!AJ26)</f>
        <v>0</v>
      </c>
      <c r="J18" s="69"/>
    </row>
    <row r="19" spans="1:10">
      <c r="A19" s="14">
        <f t="shared" si="4"/>
        <v>50587</v>
      </c>
      <c r="B19" s="14">
        <f t="shared" si="3"/>
        <v>52412</v>
      </c>
      <c r="C19">
        <f t="shared" si="0"/>
        <v>2043</v>
      </c>
      <c r="D19" s="91">
        <f>+SUM('BegTab:End Tab'!AC27)</f>
        <v>0</v>
      </c>
      <c r="E19" s="91">
        <f>+SUM('BegTab:End Tab'!AD27)</f>
        <v>0</v>
      </c>
      <c r="G19">
        <f t="shared" si="1"/>
        <v>2043</v>
      </c>
      <c r="H19" s="91">
        <f>+SUM('BegTab:End Tab'!AI27)</f>
        <v>0</v>
      </c>
      <c r="I19" s="91">
        <f>+SUM('BegTab:End Tab'!AJ27)</f>
        <v>0</v>
      </c>
      <c r="J19" s="69"/>
    </row>
    <row r="20" spans="1:10">
      <c r="A20" s="14">
        <f t="shared" si="4"/>
        <v>52413</v>
      </c>
      <c r="B20" s="14">
        <f t="shared" si="3"/>
        <v>54239</v>
      </c>
      <c r="C20">
        <f t="shared" si="0"/>
        <v>2048</v>
      </c>
      <c r="D20" s="91">
        <f>+SUM('BegTab:End Tab'!AC28)</f>
        <v>0</v>
      </c>
      <c r="E20" s="91">
        <f>+SUM('BegTab:End Tab'!AD28)</f>
        <v>0</v>
      </c>
      <c r="G20">
        <f t="shared" si="1"/>
        <v>2048</v>
      </c>
      <c r="H20" s="91">
        <f>+SUM('BegTab:End Tab'!AI28)</f>
        <v>0</v>
      </c>
      <c r="I20" s="91">
        <f>+SUM('BegTab:End Tab'!AJ28)</f>
        <v>0</v>
      </c>
      <c r="J20" s="69"/>
    </row>
    <row r="21" spans="1:10">
      <c r="A21" s="14">
        <f t="shared" si="4"/>
        <v>54240</v>
      </c>
      <c r="B21" s="14">
        <f t="shared" si="3"/>
        <v>56065</v>
      </c>
      <c r="C21">
        <f t="shared" si="0"/>
        <v>2053</v>
      </c>
      <c r="D21" s="91">
        <f>+SUM('BegTab:End Tab'!AC29)</f>
        <v>0</v>
      </c>
      <c r="E21" s="91">
        <f>+SUM('BegTab:End Tab'!AD29)</f>
        <v>0</v>
      </c>
      <c r="G21">
        <f t="shared" si="1"/>
        <v>2053</v>
      </c>
      <c r="H21" s="91">
        <f>+SUM('BegTab:End Tab'!AI29)</f>
        <v>0</v>
      </c>
      <c r="I21" s="91">
        <f>+SUM('BegTab:End Tab'!AJ29)</f>
        <v>0</v>
      </c>
      <c r="J21" s="69"/>
    </row>
    <row r="22" spans="1:10">
      <c r="A22" s="14">
        <f t="shared" si="4"/>
        <v>56066</v>
      </c>
      <c r="B22" s="14">
        <f t="shared" si="3"/>
        <v>57891</v>
      </c>
      <c r="C22">
        <f t="shared" si="0"/>
        <v>2058</v>
      </c>
      <c r="D22" s="91">
        <f>+SUM('BegTab:End Tab'!AC30)</f>
        <v>0</v>
      </c>
      <c r="E22" s="91">
        <f>+SUM('BegTab:End Tab'!AD30)</f>
        <v>0</v>
      </c>
      <c r="G22">
        <f t="shared" si="1"/>
        <v>2058</v>
      </c>
      <c r="H22" s="91">
        <f>+SUM('BegTab:End Tab'!AI30)</f>
        <v>0</v>
      </c>
      <c r="I22" s="91">
        <f>+SUM('BegTab:End Tab'!AJ30)</f>
        <v>0</v>
      </c>
      <c r="J22" s="69"/>
    </row>
    <row r="23" spans="1:10">
      <c r="A23" s="14">
        <f t="shared" si="4"/>
        <v>57892</v>
      </c>
      <c r="B23" s="14">
        <f t="shared" si="3"/>
        <v>59717</v>
      </c>
      <c r="C23">
        <f t="shared" si="0"/>
        <v>2063</v>
      </c>
      <c r="D23" s="91">
        <f>+SUM('BegTab:End Tab'!AC31)</f>
        <v>0</v>
      </c>
      <c r="E23" s="91">
        <f>+SUM('BegTab:End Tab'!AD31)</f>
        <v>0</v>
      </c>
      <c r="G23">
        <f t="shared" si="1"/>
        <v>2063</v>
      </c>
      <c r="H23" s="91">
        <f>+SUM('BegTab:End Tab'!AI31)</f>
        <v>0</v>
      </c>
      <c r="I23" s="91">
        <f>+SUM('BegTab:End Tab'!AJ31)</f>
        <v>0</v>
      </c>
      <c r="J23" s="69"/>
    </row>
    <row r="24" spans="1:10">
      <c r="A24" s="14">
        <f t="shared" si="4"/>
        <v>59718</v>
      </c>
      <c r="B24" s="14">
        <f t="shared" si="3"/>
        <v>61544</v>
      </c>
      <c r="C24">
        <f t="shared" si="0"/>
        <v>2068</v>
      </c>
      <c r="D24" s="91">
        <f>+SUM('BegTab:End Tab'!AC32)</f>
        <v>0</v>
      </c>
      <c r="E24" s="91">
        <f>+SUM('BegTab:End Tab'!AD32)</f>
        <v>0</v>
      </c>
      <c r="G24">
        <f t="shared" si="1"/>
        <v>2068</v>
      </c>
      <c r="H24" s="91">
        <f>+SUM('BegTab:End Tab'!AI32)</f>
        <v>0</v>
      </c>
      <c r="I24" s="91">
        <f>+SUM('BegTab:End Tab'!AJ32)</f>
        <v>0</v>
      </c>
      <c r="J24" s="69"/>
    </row>
    <row r="25" spans="1:10">
      <c r="A25" s="14">
        <f t="shared" si="4"/>
        <v>61545</v>
      </c>
      <c r="B25" s="14">
        <f t="shared" si="3"/>
        <v>63370</v>
      </c>
      <c r="C25">
        <f t="shared" si="0"/>
        <v>2073</v>
      </c>
      <c r="D25" s="91">
        <f>+SUM('BegTab:End Tab'!AC33)</f>
        <v>0</v>
      </c>
      <c r="E25" s="91">
        <f>+SUM('BegTab:End Tab'!AD33)</f>
        <v>0</v>
      </c>
      <c r="G25">
        <f t="shared" si="1"/>
        <v>2073</v>
      </c>
      <c r="H25" s="91">
        <f>+SUM('BegTab:End Tab'!AI33)</f>
        <v>0</v>
      </c>
      <c r="I25" s="91">
        <f>+SUM('BegTab:End Tab'!AJ33)</f>
        <v>0</v>
      </c>
      <c r="J25" s="69"/>
    </row>
    <row r="26" spans="1:10">
      <c r="A26" s="14">
        <f t="shared" si="4"/>
        <v>63371</v>
      </c>
      <c r="B26" s="14">
        <f t="shared" si="3"/>
        <v>65196</v>
      </c>
      <c r="C26">
        <f t="shared" si="0"/>
        <v>2078</v>
      </c>
      <c r="D26" s="91">
        <f>+SUM('BegTab:End Tab'!AC34)</f>
        <v>0</v>
      </c>
      <c r="E26" s="91">
        <f>+SUM('BegTab:End Tab'!AD34)</f>
        <v>0</v>
      </c>
      <c r="G26">
        <f t="shared" si="1"/>
        <v>2078</v>
      </c>
      <c r="H26" s="91">
        <f>+SUM('BegTab:End Tab'!AI34)</f>
        <v>0</v>
      </c>
      <c r="I26" s="91">
        <f>+SUM('BegTab:End Tab'!AJ34)</f>
        <v>0</v>
      </c>
      <c r="J26" s="69"/>
    </row>
    <row r="27" spans="1:10">
      <c r="A27" s="14">
        <f t="shared" si="4"/>
        <v>65197</v>
      </c>
      <c r="B27" s="14">
        <f t="shared" si="3"/>
        <v>67022</v>
      </c>
      <c r="C27">
        <f t="shared" si="0"/>
        <v>2083</v>
      </c>
      <c r="D27" s="91">
        <f>+SUM('BegTab:End Tab'!AC35)</f>
        <v>0</v>
      </c>
      <c r="E27" s="91">
        <f>+SUM('BegTab:End Tab'!AD35)</f>
        <v>0</v>
      </c>
      <c r="G27">
        <f t="shared" si="1"/>
        <v>2083</v>
      </c>
      <c r="H27" s="91">
        <f>+SUM('BegTab:End Tab'!AI35)</f>
        <v>0</v>
      </c>
      <c r="I27" s="91">
        <f>+SUM('BegTab:End Tab'!AJ35)</f>
        <v>0</v>
      </c>
      <c r="J27" s="69"/>
    </row>
    <row r="28" spans="1:10">
      <c r="A28" s="14">
        <f t="shared" si="4"/>
        <v>67023</v>
      </c>
      <c r="B28" s="14">
        <f t="shared" si="3"/>
        <v>68849</v>
      </c>
      <c r="C28">
        <f t="shared" si="0"/>
        <v>2088</v>
      </c>
      <c r="D28" s="91">
        <f>+SUM('BegTab:End Tab'!AC36)</f>
        <v>0</v>
      </c>
      <c r="E28" s="91">
        <f>+SUM('BegTab:End Tab'!AD36)</f>
        <v>0</v>
      </c>
      <c r="G28">
        <f t="shared" si="1"/>
        <v>2088</v>
      </c>
      <c r="H28" s="91">
        <f>+SUM('BegTab:End Tab'!AI36)</f>
        <v>0</v>
      </c>
      <c r="I28" s="91">
        <f>+SUM('BegTab:End Tab'!AJ36)</f>
        <v>0</v>
      </c>
      <c r="J28" s="69"/>
    </row>
    <row r="29" spans="1:10">
      <c r="A29" s="14">
        <f t="shared" si="4"/>
        <v>68850</v>
      </c>
      <c r="B29" s="14">
        <f t="shared" si="3"/>
        <v>70675</v>
      </c>
      <c r="C29">
        <f t="shared" si="0"/>
        <v>2093</v>
      </c>
      <c r="D29" s="91">
        <f>+SUM('BegTab:End Tab'!AC37)</f>
        <v>0</v>
      </c>
      <c r="E29" s="91">
        <f>+SUM('BegTab:End Tab'!AD37)</f>
        <v>0</v>
      </c>
      <c r="G29">
        <f t="shared" si="1"/>
        <v>2093</v>
      </c>
      <c r="H29" s="91">
        <f>+SUM('BegTab:End Tab'!AI37)</f>
        <v>0</v>
      </c>
      <c r="I29" s="91">
        <f>+SUM('BegTab:End Tab'!AJ37)</f>
        <v>0</v>
      </c>
      <c r="J29" s="69"/>
    </row>
    <row r="30" spans="1:10">
      <c r="A30" s="14">
        <f t="shared" si="4"/>
        <v>70676</v>
      </c>
      <c r="B30" s="14">
        <f t="shared" si="3"/>
        <v>72501</v>
      </c>
      <c r="C30">
        <f t="shared" si="0"/>
        <v>2098</v>
      </c>
      <c r="D30" s="91">
        <f>+SUM('BegTab:End Tab'!AC38)</f>
        <v>0</v>
      </c>
      <c r="E30" s="91">
        <f>+SUM('BegTab:End Tab'!AD38)</f>
        <v>0</v>
      </c>
      <c r="G30">
        <f t="shared" si="1"/>
        <v>2098</v>
      </c>
      <c r="H30" s="91">
        <f>+SUM('BegTab:End Tab'!AI38)</f>
        <v>0</v>
      </c>
      <c r="I30" s="91">
        <f>+SUM('BegTab:End Tab'!AJ38)</f>
        <v>0</v>
      </c>
      <c r="J30" s="69"/>
    </row>
    <row r="31" spans="1:10">
      <c r="A31" s="14">
        <f t="shared" si="4"/>
        <v>72502</v>
      </c>
      <c r="B31" s="14">
        <f t="shared" si="3"/>
        <v>74326</v>
      </c>
      <c r="C31">
        <f t="shared" si="0"/>
        <v>2103</v>
      </c>
      <c r="D31" s="91">
        <f>+SUM('BegTab:End Tab'!AC39)</f>
        <v>0</v>
      </c>
      <c r="E31" s="91">
        <f>+SUM('BegTab:End Tab'!AD39)</f>
        <v>0</v>
      </c>
      <c r="G31">
        <f t="shared" si="1"/>
        <v>2103</v>
      </c>
      <c r="H31" s="91">
        <f>+SUM('BegTab:End Tab'!AI39)</f>
        <v>0</v>
      </c>
      <c r="I31" s="91">
        <f>+SUM('BegTab:End Tab'!AJ39)</f>
        <v>0</v>
      </c>
      <c r="J31" s="69"/>
    </row>
    <row r="32" spans="1:10">
      <c r="A32" s="14">
        <f t="shared" si="4"/>
        <v>74327</v>
      </c>
      <c r="B32" s="14">
        <f t="shared" si="3"/>
        <v>76153</v>
      </c>
      <c r="C32">
        <f t="shared" si="0"/>
        <v>2108</v>
      </c>
      <c r="D32" s="91">
        <f>+SUM('BegTab:End Tab'!AC40)</f>
        <v>0</v>
      </c>
      <c r="E32" s="91">
        <f>+SUM('BegTab:End Tab'!AD40)</f>
        <v>0</v>
      </c>
      <c r="G32">
        <f t="shared" si="1"/>
        <v>2108</v>
      </c>
      <c r="H32" s="91">
        <f>+SUM('BegTab:End Tab'!AI40)</f>
        <v>0</v>
      </c>
      <c r="I32" s="91">
        <f>+SUM('BegTab:End Tab'!AJ40)</f>
        <v>0</v>
      </c>
      <c r="J32" s="69"/>
    </row>
    <row r="33" spans="1:10">
      <c r="A33" s="14">
        <f t="shared" si="4"/>
        <v>76154</v>
      </c>
      <c r="B33" s="14">
        <f t="shared" si="3"/>
        <v>77979</v>
      </c>
      <c r="C33">
        <f t="shared" si="0"/>
        <v>2113</v>
      </c>
      <c r="D33" s="91">
        <f>+SUM('BegTab:End Tab'!AC41)</f>
        <v>0</v>
      </c>
      <c r="E33" s="91">
        <f>+SUM('BegTab:End Tab'!AD41)</f>
        <v>0</v>
      </c>
      <c r="G33">
        <f t="shared" si="1"/>
        <v>2113</v>
      </c>
      <c r="H33" s="91">
        <f>+SUM('BegTab:End Tab'!AI41)</f>
        <v>0</v>
      </c>
      <c r="I33" s="91">
        <f>+SUM('BegTab:End Tab'!AJ41)</f>
        <v>0</v>
      </c>
      <c r="J33" s="69"/>
    </row>
    <row r="34" spans="1:10">
      <c r="A34" s="14">
        <f t="shared" si="4"/>
        <v>77980</v>
      </c>
      <c r="B34" s="14">
        <f t="shared" si="3"/>
        <v>79805</v>
      </c>
      <c r="C34">
        <f t="shared" si="0"/>
        <v>2118</v>
      </c>
      <c r="D34" s="91">
        <f>+SUM('BegTab:End Tab'!AC42)</f>
        <v>0</v>
      </c>
      <c r="E34" s="91">
        <f>+SUM('BegTab:End Tab'!AD42)</f>
        <v>0</v>
      </c>
      <c r="G34">
        <f t="shared" si="1"/>
        <v>2118</v>
      </c>
      <c r="H34" s="91">
        <f>+SUM('BegTab:End Tab'!AI42)</f>
        <v>0</v>
      </c>
      <c r="I34" s="91">
        <f>+SUM('BegTab:End Tab'!AJ42)</f>
        <v>0</v>
      </c>
      <c r="J34" s="69"/>
    </row>
    <row r="35" spans="1:10">
      <c r="A35" s="14">
        <f t="shared" si="4"/>
        <v>79806</v>
      </c>
      <c r="B35" s="14">
        <f t="shared" si="3"/>
        <v>81631</v>
      </c>
      <c r="C35">
        <f t="shared" si="0"/>
        <v>2123</v>
      </c>
      <c r="D35" s="91">
        <f>+SUM('BegTab:End Tab'!AC43)</f>
        <v>0</v>
      </c>
      <c r="E35" s="91">
        <f>+SUM('BegTab:End Tab'!AD43)</f>
        <v>0</v>
      </c>
      <c r="G35">
        <f t="shared" si="1"/>
        <v>2123</v>
      </c>
      <c r="H35" s="91">
        <f>+SUM('BegTab:End Tab'!AI43)</f>
        <v>0</v>
      </c>
      <c r="I35" s="91">
        <f>+SUM('BegTab:End Tab'!AJ43)</f>
        <v>0</v>
      </c>
      <c r="J35" s="69"/>
    </row>
    <row r="36" spans="1:10" ht="15" thickBot="1">
      <c r="A36" s="84" t="s">
        <v>119</v>
      </c>
      <c r="B36" s="69"/>
      <c r="C36" s="69"/>
      <c r="D36" s="85">
        <f>SUM(D12:D35)</f>
        <v>0</v>
      </c>
      <c r="E36" s="85">
        <f>SUM(E12:E35)</f>
        <v>0</v>
      </c>
      <c r="F36" s="84"/>
      <c r="G36" s="84"/>
      <c r="H36" s="85">
        <f>SUM(H12:H35)</f>
        <v>0</v>
      </c>
      <c r="I36" s="85">
        <f>SUM(I12:I35)</f>
        <v>0</v>
      </c>
      <c r="J36" s="69"/>
    </row>
    <row r="37" spans="1:10" ht="15" thickTop="1">
      <c r="A37" s="69"/>
      <c r="B37" s="69"/>
      <c r="C37" s="69"/>
      <c r="D37" s="69"/>
      <c r="E37" s="69"/>
      <c r="F37" s="69"/>
      <c r="G37" s="69"/>
      <c r="H37" s="69"/>
      <c r="I37" s="69"/>
      <c r="J37" s="69"/>
    </row>
    <row r="40" spans="1:10">
      <c r="D40" s="112">
        <f>+D36+D10</f>
        <v>0</v>
      </c>
      <c r="E40" s="112">
        <f>+E36+E10</f>
        <v>0</v>
      </c>
      <c r="H40" s="112">
        <f>+H36+H10</f>
        <v>0</v>
      </c>
      <c r="I40" s="112">
        <f>+I36+I10</f>
        <v>0</v>
      </c>
    </row>
  </sheetData>
  <mergeCells count="4">
    <mergeCell ref="A3:B3"/>
    <mergeCell ref="D7:E8"/>
    <mergeCell ref="H7:I8"/>
    <mergeCell ref="A11: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J769"/>
  <sheetViews>
    <sheetView showGridLines="0" topLeftCell="B16" workbookViewId="0">
      <selection activeCell="X16" sqref="X1:AK1048576"/>
    </sheetView>
  </sheetViews>
  <sheetFormatPr defaultRowHeight="14.4"/>
  <cols>
    <col min="1" max="1" width="4.5546875" customWidth="1"/>
    <col min="2" max="2" width="18.5546875" bestFit="1" customWidth="1"/>
    <col min="3" max="3" width="19.109375" customWidth="1"/>
    <col min="4" max="4" width="15.5546875" customWidth="1"/>
    <col min="5" max="11" width="19.109375" customWidth="1"/>
    <col min="12" max="12" width="21.44140625" customWidth="1"/>
    <col min="15" max="15" width="9.109375" style="67"/>
    <col min="16" max="22" width="14.33203125" customWidth="1"/>
    <col min="24" max="24" width="9.109375" style="67"/>
    <col min="25" max="25" width="9.109375" hidden="1" customWidth="1"/>
    <col min="26" max="27" width="9.6640625" hidden="1" customWidth="1"/>
    <col min="28" max="32" width="9.109375" hidden="1" customWidth="1"/>
    <col min="33" max="33" width="9.6640625" hidden="1" customWidth="1"/>
    <col min="34" max="36" width="9.109375" hidden="1" customWidth="1"/>
  </cols>
  <sheetData>
    <row r="1" spans="2:30">
      <c r="B1" t="str">
        <f ca="1">MID(CELL("filename",A1),FIND("]",CELL("filename",A1))+1,255)</f>
        <v>Template</v>
      </c>
    </row>
    <row r="3" spans="2:30" s="29" customFormat="1" ht="16.2" thickBot="1">
      <c r="B3" s="45"/>
      <c r="C3" s="64" t="s">
        <v>95</v>
      </c>
      <c r="G3"/>
      <c r="H3" s="30"/>
      <c r="O3" s="68"/>
      <c r="X3" s="68"/>
    </row>
    <row r="4" spans="2:30" s="29" customFormat="1" ht="15" thickBot="1">
      <c r="B4" s="39"/>
      <c r="C4" s="29" t="s">
        <v>96</v>
      </c>
      <c r="G4" s="54" t="e">
        <f ca="1">VLOOKUP(B1,Inventory!A1:BC400,2,FALSE)</f>
        <v>#N/A</v>
      </c>
      <c r="H4" s="30"/>
      <c r="J4" s="199" t="s">
        <v>100</v>
      </c>
      <c r="K4" s="204"/>
      <c r="L4" s="205"/>
      <c r="O4" s="68"/>
      <c r="P4" s="218" t="s">
        <v>88</v>
      </c>
      <c r="Q4" s="218"/>
      <c r="R4" s="218"/>
      <c r="S4" s="50" t="e">
        <f ca="1">VLOOKUP(B1,Inventory!A1:BC400,3,FALSE)</f>
        <v>#N/A</v>
      </c>
      <c r="T4"/>
      <c r="U4"/>
      <c r="V4"/>
      <c r="X4" s="68"/>
    </row>
    <row r="5" spans="2:30" s="29" customFormat="1">
      <c r="B5" s="39"/>
      <c r="C5" s="29" t="s">
        <v>225</v>
      </c>
      <c r="G5" s="54" t="e">
        <f ca="1">VLOOKUP(B1,Inventory!A1:BC400,44,FALSE)</f>
        <v>#N/A</v>
      </c>
      <c r="H5" s="30"/>
      <c r="J5" s="51"/>
      <c r="K5" s="52"/>
      <c r="L5" s="53"/>
      <c r="O5" s="68"/>
      <c r="P5" s="65"/>
      <c r="Q5" s="65"/>
      <c r="R5" s="65"/>
      <c r="S5"/>
      <c r="T5"/>
      <c r="U5"/>
      <c r="V5"/>
      <c r="X5" s="68"/>
    </row>
    <row r="6" spans="2:30" s="29" customFormat="1" ht="15.6">
      <c r="B6" s="39"/>
      <c r="C6" s="29" t="s">
        <v>91</v>
      </c>
      <c r="G6" s="55" t="e">
        <f ca="1">VLOOKUP(B1,Inventory!A1:BC400,26,FALSE)</f>
        <v>#N/A</v>
      </c>
      <c r="H6" s="30"/>
      <c r="J6" s="199" t="s">
        <v>99</v>
      </c>
      <c r="K6" s="200"/>
      <c r="L6" s="201"/>
      <c r="O6" s="68"/>
      <c r="P6" s="60"/>
      <c r="Q6" s="219" t="str">
        <f ca="1">+B1</f>
        <v>Template</v>
      </c>
      <c r="R6" s="220"/>
      <c r="S6" s="221"/>
      <c r="T6"/>
      <c r="U6"/>
      <c r="V6" s="30"/>
      <c r="X6" s="68"/>
    </row>
    <row r="7" spans="2:30" s="29" customFormat="1" ht="27" customHeight="1">
      <c r="B7" s="39"/>
      <c r="C7" s="29" t="s">
        <v>90</v>
      </c>
      <c r="G7" s="62" t="e">
        <f ca="1">IF($G$9="Monthly",$G$6*12,IF($G$9="quarterly",$G$6*4,IF($G$9="annually",$G$6*1,IF($G$9="weekly",$G$6*52,IF($G$9="semiannually",$G$6*2," ")))))</f>
        <v>#N/A</v>
      </c>
      <c r="H7" s="30"/>
      <c r="J7" s="206" t="s">
        <v>84</v>
      </c>
      <c r="K7" s="207"/>
      <c r="L7" s="208"/>
      <c r="O7" s="68"/>
      <c r="P7" s="222" t="e">
        <f ca="1">+IF($S$4="lessee","Finance Lease - Lease Liability Amortization Table", "Finance Lease - Leasor Receivable Amortization Table")</f>
        <v>#N/A</v>
      </c>
      <c r="Q7" s="222"/>
      <c r="R7" s="222"/>
      <c r="S7" s="222"/>
      <c r="T7" s="222"/>
      <c r="U7" s="30"/>
      <c r="X7" s="68"/>
    </row>
    <row r="8" spans="2:30" s="29" customFormat="1" ht="43.5" customHeight="1">
      <c r="B8" s="39"/>
      <c r="C8" s="209" t="s">
        <v>97</v>
      </c>
      <c r="D8" s="210"/>
      <c r="E8" s="210"/>
      <c r="G8"/>
      <c r="H8" s="30"/>
      <c r="O8" s="68"/>
      <c r="P8" s="66"/>
      <c r="Q8" s="66"/>
      <c r="R8" s="66"/>
      <c r="S8" s="66"/>
      <c r="T8" s="66"/>
      <c r="U8" s="30"/>
      <c r="X8" s="68"/>
    </row>
    <row r="9" spans="2:30" s="29" customFormat="1">
      <c r="B9" s="39"/>
      <c r="C9" s="210"/>
      <c r="D9" s="210"/>
      <c r="E9" s="210"/>
      <c r="G9" s="54" t="e">
        <f ca="1">VLOOKUP(B1,Inventory!A1:BC400,30,FALSE)</f>
        <v>#N/A</v>
      </c>
      <c r="H9" s="30"/>
      <c r="J9" s="211" t="s">
        <v>106</v>
      </c>
      <c r="K9" s="212"/>
      <c r="L9" s="213"/>
      <c r="O9" s="68"/>
      <c r="P9" s="66"/>
      <c r="Q9" s="66"/>
      <c r="R9" s="66"/>
      <c r="S9" s="66"/>
      <c r="T9" s="66"/>
      <c r="U9" s="30"/>
      <c r="X9" s="68"/>
    </row>
    <row r="10" spans="2:30" s="29" customFormat="1">
      <c r="B10" s="39"/>
      <c r="C10" s="49"/>
      <c r="D10" s="49"/>
      <c r="E10" s="49"/>
      <c r="G10" s="30"/>
      <c r="I10" s="46"/>
      <c r="J10" s="47"/>
      <c r="K10" s="47"/>
      <c r="O10" s="68"/>
      <c r="P10" s="66"/>
      <c r="Q10" s="66"/>
      <c r="R10" s="66"/>
      <c r="S10" s="66"/>
      <c r="T10" s="66"/>
      <c r="U10" s="30"/>
      <c r="X10" s="68"/>
    </row>
    <row r="11" spans="2:30" s="29" customFormat="1">
      <c r="B11" s="39"/>
      <c r="C11" s="214" t="s">
        <v>82</v>
      </c>
      <c r="D11" s="215"/>
      <c r="E11" s="215"/>
      <c r="G11"/>
      <c r="H11" s="30"/>
      <c r="O11" s="68"/>
      <c r="P11" s="66"/>
      <c r="Q11" s="66"/>
      <c r="R11" s="66"/>
      <c r="S11" s="66"/>
      <c r="T11" s="66"/>
      <c r="U11" s="30"/>
      <c r="X11" s="68"/>
    </row>
    <row r="12" spans="2:30" s="29" customFormat="1" ht="73.5" customHeight="1">
      <c r="B12" s="39"/>
      <c r="C12" s="215"/>
      <c r="D12" s="215"/>
      <c r="E12" s="215"/>
      <c r="G12" s="54" t="e">
        <f ca="1">VLOOKUP(B1,Inventory!A1:BC400,31,FALSE)</f>
        <v>#N/A</v>
      </c>
      <c r="H12" s="30"/>
      <c r="J12" s="211" t="s">
        <v>102</v>
      </c>
      <c r="K12" s="212"/>
      <c r="L12" s="213"/>
      <c r="O12" s="68"/>
      <c r="P12" s="30"/>
      <c r="Q12" s="39"/>
      <c r="R12" s="39"/>
      <c r="S12" s="30"/>
      <c r="T12" s="30"/>
      <c r="U12" s="30"/>
      <c r="V12" s="30"/>
      <c r="X12" s="68"/>
    </row>
    <row r="13" spans="2:30" s="29" customFormat="1" ht="73.5" customHeight="1">
      <c r="B13" s="39"/>
      <c r="C13" s="216" t="s">
        <v>83</v>
      </c>
      <c r="D13" s="216"/>
      <c r="E13" s="216"/>
      <c r="G13" s="63" t="e">
        <f ca="1">VLOOKUP(B1,Inventory!A1:BC400,40,FALSE)</f>
        <v>#N/A</v>
      </c>
      <c r="I13" s="46"/>
      <c r="J13" s="206" t="s">
        <v>101</v>
      </c>
      <c r="K13" s="207"/>
      <c r="L13" s="208"/>
      <c r="O13" s="68"/>
      <c r="R13" s="223" t="s">
        <v>79</v>
      </c>
      <c r="S13" s="224"/>
      <c r="T13" s="224"/>
      <c r="U13" s="224"/>
      <c r="V13" s="225"/>
      <c r="X13" s="68"/>
      <c r="Y13" t="s">
        <v>108</v>
      </c>
      <c r="Z13"/>
      <c r="AA13"/>
      <c r="AB13"/>
      <c r="AC13"/>
      <c r="AD13"/>
    </row>
    <row r="14" spans="2:30">
      <c r="B14" s="29"/>
      <c r="C14" s="29"/>
      <c r="D14" s="29"/>
      <c r="E14" s="29"/>
      <c r="F14" s="29"/>
      <c r="G14" s="29"/>
      <c r="H14" s="29"/>
      <c r="I14" s="29"/>
      <c r="J14" s="29"/>
      <c r="K14" s="29"/>
      <c r="L14" s="30"/>
      <c r="M14" s="29"/>
      <c r="N14" s="29"/>
      <c r="P14" s="29"/>
      <c r="Q14" s="29"/>
      <c r="R14" s="226"/>
      <c r="S14" s="227"/>
      <c r="T14" s="227"/>
      <c r="U14" s="227"/>
      <c r="V14" s="228"/>
      <c r="W14" s="29"/>
      <c r="Y14" t="s">
        <v>109</v>
      </c>
      <c r="Z14" t="s">
        <v>107</v>
      </c>
    </row>
    <row r="15" spans="2:30">
      <c r="B15" s="29"/>
      <c r="C15" s="29"/>
      <c r="D15" s="29"/>
      <c r="E15" s="29"/>
      <c r="F15" s="29"/>
      <c r="G15" s="29"/>
      <c r="H15" s="29"/>
      <c r="I15" s="29"/>
      <c r="J15" s="29"/>
      <c r="K15" s="29"/>
      <c r="L15" s="29"/>
      <c r="M15" s="29"/>
      <c r="N15" s="29"/>
      <c r="P15" s="29"/>
      <c r="Q15" s="29"/>
      <c r="R15" s="229"/>
      <c r="S15" s="230"/>
      <c r="T15" s="230"/>
      <c r="U15" s="230"/>
      <c r="V15" s="231"/>
      <c r="W15" s="29"/>
      <c r="Y15" s="14">
        <f>+Inventory!B2</f>
        <v>44743</v>
      </c>
      <c r="Z15" s="14">
        <f>+Inventory!C2</f>
        <v>45107</v>
      </c>
    </row>
    <row r="16" spans="2:30" ht="38.25" customHeight="1">
      <c r="B16" s="29"/>
      <c r="C16" s="29"/>
      <c r="D16" s="217" t="s">
        <v>67</v>
      </c>
      <c r="E16" s="217"/>
      <c r="F16" s="217"/>
      <c r="G16" s="217"/>
      <c r="H16" s="217"/>
      <c r="I16" s="217"/>
      <c r="J16" s="217"/>
      <c r="K16" s="217"/>
      <c r="L16" s="29"/>
      <c r="M16" s="29"/>
      <c r="N16" s="29"/>
      <c r="P16" s="30"/>
      <c r="Q16" s="40"/>
      <c r="R16" s="41" t="s">
        <v>80</v>
      </c>
      <c r="S16" s="61" t="s">
        <v>81</v>
      </c>
      <c r="T16" s="42" t="s">
        <v>92</v>
      </c>
      <c r="U16" s="42" t="s">
        <v>94</v>
      </c>
      <c r="V16" s="42" t="s">
        <v>93</v>
      </c>
      <c r="W16" s="29"/>
    </row>
    <row r="17" spans="2:36">
      <c r="B17" s="197" t="s">
        <v>68</v>
      </c>
      <c r="C17" s="31"/>
      <c r="D17" s="31"/>
      <c r="E17" s="31"/>
      <c r="F17" s="31"/>
      <c r="G17" s="31"/>
      <c r="H17" s="31"/>
      <c r="I17" s="31"/>
      <c r="J17" s="31"/>
      <c r="K17" s="31"/>
      <c r="L17" s="32"/>
      <c r="M17" s="202" t="s">
        <v>69</v>
      </c>
      <c r="N17" s="203"/>
      <c r="P17" s="232" t="s">
        <v>68</v>
      </c>
      <c r="Q17" s="57"/>
      <c r="R17" s="197" t="e">
        <f ca="1">+IF($S$4="lessee","Lease Liability Opening Balance", "Lessor Receivable Opening Balance")</f>
        <v>#N/A</v>
      </c>
      <c r="S17" s="197" t="s">
        <v>87</v>
      </c>
      <c r="T17" s="197" t="e">
        <f ca="1">+IF($S$4="lessee","Interest Expense", "Interest Revenue")</f>
        <v>#N/A</v>
      </c>
      <c r="U17" s="31"/>
      <c r="V17" s="197" t="e">
        <f ca="1">+IF($S$4="lessee","Lease Liability Closing Balance", "Lessor Receivable Closing Balance")</f>
        <v>#N/A</v>
      </c>
      <c r="W17" s="29"/>
    </row>
    <row r="18" spans="2:36" ht="69.599999999999994">
      <c r="B18" s="198"/>
      <c r="C18" s="33" t="s">
        <v>70</v>
      </c>
      <c r="D18" s="33" t="s">
        <v>71</v>
      </c>
      <c r="E18" s="33" t="s">
        <v>86</v>
      </c>
      <c r="F18" s="33" t="s">
        <v>72</v>
      </c>
      <c r="G18" s="33" t="s">
        <v>73</v>
      </c>
      <c r="H18" s="33" t="s">
        <v>74</v>
      </c>
      <c r="I18" s="33" t="s">
        <v>85</v>
      </c>
      <c r="J18" s="33" t="s">
        <v>89</v>
      </c>
      <c r="K18" s="33" t="s">
        <v>75</v>
      </c>
      <c r="L18" s="31" t="s">
        <v>76</v>
      </c>
      <c r="M18" s="34" t="s">
        <v>77</v>
      </c>
      <c r="N18" s="34" t="s">
        <v>78</v>
      </c>
      <c r="P18" s="233"/>
      <c r="Q18" s="58" t="s">
        <v>0</v>
      </c>
      <c r="R18" s="234"/>
      <c r="S18" s="234"/>
      <c r="T18" s="234"/>
      <c r="U18" s="56" t="s">
        <v>1</v>
      </c>
      <c r="V18" s="234"/>
      <c r="AB18" s="1" t="s">
        <v>110</v>
      </c>
      <c r="AC18" t="s">
        <v>1</v>
      </c>
      <c r="AD18" t="s">
        <v>111</v>
      </c>
      <c r="AH18" s="1" t="s">
        <v>110</v>
      </c>
      <c r="AI18" t="s">
        <v>1</v>
      </c>
      <c r="AJ18" t="s">
        <v>111</v>
      </c>
    </row>
    <row r="19" spans="2:36">
      <c r="B19" s="35">
        <v>0</v>
      </c>
      <c r="C19" s="77" t="e">
        <f ca="1">+G4</f>
        <v>#N/A</v>
      </c>
      <c r="D19" s="78" t="e">
        <f ca="1">+IF(AND(B19&lt;G7,pmt_timing="Beginning"),VLOOKUP($B$1,Inventory!$A$1:$BC$500,35,FALSE),0)</f>
        <v>#N/A</v>
      </c>
      <c r="E19" s="78">
        <v>0</v>
      </c>
      <c r="F19" s="78">
        <v>0</v>
      </c>
      <c r="G19" s="78">
        <v>0</v>
      </c>
      <c r="H19" s="78">
        <v>0</v>
      </c>
      <c r="I19" s="78">
        <v>0</v>
      </c>
      <c r="J19" s="78">
        <v>0</v>
      </c>
      <c r="K19" s="78">
        <v>0</v>
      </c>
      <c r="L19" s="36" t="e">
        <f ca="1">SUM(D19:K19)</f>
        <v>#N/A</v>
      </c>
      <c r="M19" s="37" t="e">
        <f t="shared" ref="M19:M82" ca="1" si="0">IF(AND(payfreq="Annually",pmt_timing="End",$B19&lt;=term),$L19/(1+Adj_Rate)^($B19),IF(AND(payfreq="Semiannually",pmt_timing="End",$B19&lt;=term),$L19/(1+Adj_Rate/2)^($B19),IF(AND(payfreq="Quarterly",pmt_timing="End",$B19&lt;=term),$L19/(1+Adj_Rate/4)^($B19),IF(AND(payfreq="Monthly",pmt_timing="End",$B19&lt;=term),$L19/(1+Adj_Rate/12)^($B19),""))))</f>
        <v>#N/A</v>
      </c>
      <c r="N19" s="37" t="e">
        <f t="shared" ref="N19:N82" ca="1" si="1">IF(AND(payfreq="Annually",pmt_timing="Beginning",$B19&lt;=term),$L19/(1+Adj_Rate)^($B19),IF(AND(payfreq="Semiannually",pmt_timing="Beginning",$B19&lt;=term),$L19/(1+Adj_Rate/2)^($B19),IF(AND(payfreq="Quarterly",pmt_timing="Beginning",$B19&lt;=term),$L19/(1+Adj_Rate/4)^($B19),IF(AND(payfreq="Monthly",pmt_timing="Beginning",$B19&lt;=term),$L19/(1+Adj_Rate/12)^($B19),""))))</f>
        <v>#N/A</v>
      </c>
      <c r="P19" s="35">
        <v>0</v>
      </c>
      <c r="Q19" s="59" t="e">
        <f ca="1">+C19</f>
        <v>#N/A</v>
      </c>
      <c r="R19" s="37" t="e">
        <f ca="1">IF(pmt_timing="End","",SUM(Template!$N19:$N1216))</f>
        <v>#N/A</v>
      </c>
      <c r="S19" s="37" t="e">
        <f ca="1">IF(P19="","",IF(P19="Total",SUM($S$19:S19),VLOOKUP($P19,$B$12:$L73,11,FALSE)))</f>
        <v>#N/A</v>
      </c>
      <c r="T19" s="43"/>
      <c r="U19" s="37" t="e">
        <f ca="1">+S19-T19</f>
        <v>#N/A</v>
      </c>
      <c r="V19" s="37" t="e">
        <f ca="1">IF(pmt_timing="End",SUM(M19:M910),SUM(N19:N910)-U19)</f>
        <v>#N/A</v>
      </c>
      <c r="Z19" s="14">
        <f>+Y15</f>
        <v>44743</v>
      </c>
      <c r="AA19" s="14">
        <f>+Z15</f>
        <v>45107</v>
      </c>
      <c r="AB19">
        <f>+YEAR(AA19)</f>
        <v>2023</v>
      </c>
      <c r="AC19" s="80" t="e">
        <f ca="1">IF(S$4="Lessee",ROUND(+SUMIFS(U$19:U$619,Q$19:Q$619,"&gt;="&amp;Z19,Q$19:Q$619,"&lt;="&amp;AA19),0),0)</f>
        <v>#N/A</v>
      </c>
      <c r="AD19" s="80" t="e">
        <f ca="1">IF(S$4="Lessee",ROUND(+SUMIFS(T$19:T$619,Q$19:Q$619,"&gt;="&amp;Z19,Q$19:Q$619,"&lt;="&amp;AA19),0),0)</f>
        <v>#N/A</v>
      </c>
      <c r="AF19" s="14">
        <f>+Y15</f>
        <v>44743</v>
      </c>
      <c r="AG19" s="14">
        <f>+Z15</f>
        <v>45107</v>
      </c>
      <c r="AH19">
        <f>+YEAR(AG19)</f>
        <v>2023</v>
      </c>
      <c r="AI19" s="80" t="e">
        <f ca="1">IF(S$4="Lessor",ROUND(+SUMIFS(U$19:U$619,Q$19:Q$619,"&gt;="&amp;AF19,Q$19:Q$619,"&lt;="&amp;AG19),0),0)</f>
        <v>#N/A</v>
      </c>
      <c r="AJ19" s="80" t="e">
        <f ca="1">IF(S$4="Lessor",ROUND(+SUMIFS(T$19:T$619,Q$19:Q$619,"&gt;="&amp;AF19,Q$19:Q$619,"&lt;="&amp;AG19),0),0)</f>
        <v>#N/A</v>
      </c>
    </row>
    <row r="20" spans="2:36">
      <c r="B20" s="38">
        <v>1</v>
      </c>
      <c r="C20" s="77" t="e">
        <f ca="1">IF(Q20 &lt;&gt; "",Q20, "")</f>
        <v>#N/A</v>
      </c>
      <c r="D20" s="78" t="e">
        <f ca="1">+IF(AND(B20&lt;$G$7),VLOOKUP($B$1,Inventory!$A$1:$BC$500,35,FALSE),IF(AND(B20=$G$7,pmt_timing="End"),VLOOKUP($B$1,Inventory!$A$1:$BC$500,35,FALSE),0))</f>
        <v>#N/A</v>
      </c>
      <c r="E20" s="78">
        <v>0</v>
      </c>
      <c r="F20" s="78">
        <v>0</v>
      </c>
      <c r="G20" s="78">
        <v>0</v>
      </c>
      <c r="H20" s="78">
        <v>0</v>
      </c>
      <c r="I20" s="78">
        <v>0</v>
      </c>
      <c r="J20" s="78">
        <v>0</v>
      </c>
      <c r="K20" s="78">
        <v>0</v>
      </c>
      <c r="L20" s="36" t="e">
        <f t="shared" ref="L20:L83" ca="1" si="2">SUM(D20:K20)</f>
        <v>#N/A</v>
      </c>
      <c r="M20" s="37" t="e">
        <f t="shared" ca="1" si="0"/>
        <v>#N/A</v>
      </c>
      <c r="N20" s="37" t="e">
        <f t="shared" ca="1" si="1"/>
        <v>#N/A</v>
      </c>
      <c r="P20" s="35">
        <v>1</v>
      </c>
      <c r="Q20" s="59" t="e">
        <f t="shared" ref="Q20:Q83" ca="1" si="3">IF(P20="","",IF(P20="total","",IF(payfreq="Annually",DATE(YEAR(Q19)+1,MONTH(Q19),DAY(Q19)),IF(payfreq="Semiannually",DATE(YEAR(Q19),MONTH(Q19)+6,DAY(Q19)),IF(payfreq="Quarterly",DATE(YEAR(Q19),MONTH(Q19)+3,DAY(Q19)),IF(payfreq="Monthly",DATE(YEAR(Q19),MONTH(Q19)+1,DAY(Q19))))))))</f>
        <v>#N/A</v>
      </c>
      <c r="R20" s="44" t="e">
        <f ca="1">IF(OR(P20="",P20="Total"),"",V19)</f>
        <v>#N/A</v>
      </c>
      <c r="S20" s="37" t="e">
        <f ca="1">IF(P20="","",IF(P20="Total",SUM($S$19:S19),VLOOKUP($P20,$B$12:$L74,11,FALSE)))</f>
        <v>#N/A</v>
      </c>
      <c r="T20" s="44" t="e">
        <f ca="1">+IF(payfreq="Annually",IF(P20="","",IF(P20="Total",SUM($T$19:T19),Adj_Rate*$R20)),IF(payfreq="Semiannually",IF(P20="","",IF(P20="Total",SUM($T$19:T19),Adj_Rate/2*$R20)),IF(payfreq="Quarterly",IF(P20="","",IF(P20="Total",SUM($T$19:T19),Adj_Rate/4*$R20)),IF(payfreq="Monthly",IF(P20="","",IF(P20="Total",SUM($T$19:T19),Adj_Rate/12*$R20)),""))))</f>
        <v>#N/A</v>
      </c>
      <c r="U20" s="37" t="e">
        <f ca="1">+IF(S20="","",S20-T20)</f>
        <v>#N/A</v>
      </c>
      <c r="V20" s="44" t="e">
        <f ca="1">IF(OR(P20="",P20="Total"),"",R20+T20-S20)</f>
        <v>#N/A</v>
      </c>
      <c r="Z20" s="14">
        <f t="shared" ref="Z20:AA23" si="4">DATE(YEAR(Z19)+1,MONTH(Z19),DAY(Z19))</f>
        <v>45108</v>
      </c>
      <c r="AA20" s="14">
        <f t="shared" si="4"/>
        <v>45473</v>
      </c>
      <c r="AB20">
        <f t="shared" ref="AB20:AB42" si="5">+YEAR(AA20)</f>
        <v>2024</v>
      </c>
      <c r="AC20" s="80" t="e">
        <f t="shared" ref="AC20:AC65" ca="1" si="6">IF(S$4="Lessee",ROUND(+SUMIFS(U$19:U$619,Q$19:Q$619,"&gt;="&amp;Z20,Q$19:Q$619,"&lt;="&amp;AA20),0),0)</f>
        <v>#N/A</v>
      </c>
      <c r="AD20" s="80" t="e">
        <f t="shared" ref="AD20:AD65" ca="1" si="7">IF(S$4="Lessee",ROUND(+SUMIFS(T$19:T$619,Q$19:Q$619,"&gt;="&amp;Z20,Q$19:Q$619,"&lt;="&amp;AA20),0),0)</f>
        <v>#N/A</v>
      </c>
      <c r="AF20" s="14">
        <f t="shared" ref="AF20:AG20" si="8">DATE(YEAR(AF19)+1,MONTH(AF19),DAY(AF19))</f>
        <v>45108</v>
      </c>
      <c r="AG20" s="14">
        <f t="shared" si="8"/>
        <v>45473</v>
      </c>
      <c r="AH20">
        <f t="shared" ref="AH20:AH47" si="9">+YEAR(AG20)</f>
        <v>2024</v>
      </c>
      <c r="AI20" s="80" t="e">
        <f t="shared" ref="AI20:AI65" ca="1" si="10">IF(S$4="Lessor",ROUND(+SUMIFS(U$19:U$619,Q$19:Q$619,"&gt;="&amp;AF20,Q$19:Q$619,"&lt;="&amp;AG20),0),0)</f>
        <v>#N/A</v>
      </c>
      <c r="AJ20" s="80" t="e">
        <f t="shared" ref="AJ20:AJ65" ca="1" si="11">IF(S$4="Lessor",ROUND(+SUMIFS(T$19:T$619,Q$19:Q$619,"&gt;="&amp;AF20,Q$19:Q$619,"&lt;="&amp;AG20),0),0)</f>
        <v>#N/A</v>
      </c>
    </row>
    <row r="21" spans="2:36">
      <c r="B21" s="38">
        <v>2</v>
      </c>
      <c r="C21" s="77" t="e">
        <f t="shared" ref="C21:C84" ca="1" si="12">IF(Q21 &lt;&gt; "",Q21, "")</f>
        <v>#N/A</v>
      </c>
      <c r="D21" s="78" t="e">
        <f ca="1">+IF(AND(B21&lt;$G$7),VLOOKUP($B$1,Inventory!$A$1:$BC$500,35,FALSE),IF(AND(B21=$G$7,pmt_timing="End"),VLOOKUP($B$1,Inventory!$A$1:$BC$500,35,FALSE),0))</f>
        <v>#N/A</v>
      </c>
      <c r="E21" s="78">
        <v>0</v>
      </c>
      <c r="F21" s="78">
        <v>0</v>
      </c>
      <c r="G21" s="78">
        <v>0</v>
      </c>
      <c r="H21" s="78">
        <v>0</v>
      </c>
      <c r="I21" s="78">
        <v>0</v>
      </c>
      <c r="J21" s="78">
        <v>0</v>
      </c>
      <c r="K21" s="78">
        <v>0</v>
      </c>
      <c r="L21" s="36" t="e">
        <f t="shared" ca="1" si="2"/>
        <v>#N/A</v>
      </c>
      <c r="M21" s="37" t="e">
        <f t="shared" ca="1" si="0"/>
        <v>#N/A</v>
      </c>
      <c r="N21" s="37" t="e">
        <f t="shared" ca="1" si="1"/>
        <v>#N/A</v>
      </c>
      <c r="P21" s="35" t="e">
        <f ca="1">IF(P20&lt;term,P20+1,IF(P20=term,"Total",""))</f>
        <v>#N/A</v>
      </c>
      <c r="Q21" s="59" t="e">
        <f t="shared" ca="1" si="3"/>
        <v>#N/A</v>
      </c>
      <c r="R21" s="44" t="e">
        <f t="shared" ref="R21:R83" ca="1" si="13">IF(OR(P21="",P21="Total"),"",V20)</f>
        <v>#N/A</v>
      </c>
      <c r="S21" s="37" t="e">
        <f ca="1">IF(P21="","",IF(P21="Total",SUM($S$19:S20),VLOOKUP($P21,$B$12:$L75,11,FALSE)))</f>
        <v>#N/A</v>
      </c>
      <c r="T21" s="44" t="e">
        <f ca="1">IF(payfreq="Annually",IF(P21="","",IF(P21="Total",SUM($T$19:T20),Adj_Rate*$R21)),IF(payfreq="Semiannually",IF(P21="","",IF(P21="Total",SUM($T$19:T20),Adj_Rate/2*$R21)),IF(payfreq="Quarterly",IF(P21="","",IF(P21="Total",SUM($T$19:T20),Adj_Rate/4*$R21)),IF(payfreq="Monthly",IF(P21="","",IF(P21="Total",SUM($T$19:T20),Adj_Rate/12*$R21)),""))))</f>
        <v>#N/A</v>
      </c>
      <c r="U21" s="37" t="e">
        <f t="shared" ref="U21:U83" ca="1" si="14">+IF(S21="","",S21-T21)</f>
        <v>#N/A</v>
      </c>
      <c r="V21" s="44" t="e">
        <f t="shared" ref="V21:V83" ca="1" si="15">IF(OR(P21="",P21="Total"),"",R21+T21-S21)</f>
        <v>#N/A</v>
      </c>
      <c r="Z21" s="14">
        <f t="shared" si="4"/>
        <v>45474</v>
      </c>
      <c r="AA21" s="14">
        <f t="shared" si="4"/>
        <v>45838</v>
      </c>
      <c r="AB21">
        <f t="shared" si="5"/>
        <v>2025</v>
      </c>
      <c r="AC21" s="80" t="e">
        <f t="shared" ca="1" si="6"/>
        <v>#N/A</v>
      </c>
      <c r="AD21" s="80" t="e">
        <f t="shared" ca="1" si="7"/>
        <v>#N/A</v>
      </c>
      <c r="AF21" s="14">
        <f t="shared" ref="AF21:AG21" si="16">DATE(YEAR(AF20)+1,MONTH(AF20),DAY(AF20))</f>
        <v>45474</v>
      </c>
      <c r="AG21" s="14">
        <f t="shared" si="16"/>
        <v>45838</v>
      </c>
      <c r="AH21">
        <f t="shared" si="9"/>
        <v>2025</v>
      </c>
      <c r="AI21" s="80" t="e">
        <f t="shared" ca="1" si="10"/>
        <v>#N/A</v>
      </c>
      <c r="AJ21" s="80" t="e">
        <f t="shared" ca="1" si="11"/>
        <v>#N/A</v>
      </c>
    </row>
    <row r="22" spans="2:36">
      <c r="B22" s="38">
        <v>3</v>
      </c>
      <c r="C22" s="77" t="e">
        <f t="shared" ca="1" si="12"/>
        <v>#N/A</v>
      </c>
      <c r="D22" s="78" t="e">
        <f ca="1">+IF(AND(B22&lt;$G$7),VLOOKUP($B$1,Inventory!$A$1:$BC$500,35,FALSE),IF(AND(B22=$G$7,pmt_timing="End"),VLOOKUP($B$1,Inventory!$A$1:$BC$500,35,FALSE),0))</f>
        <v>#N/A</v>
      </c>
      <c r="E22" s="78">
        <v>0</v>
      </c>
      <c r="F22" s="78">
        <v>0</v>
      </c>
      <c r="G22" s="78">
        <v>0</v>
      </c>
      <c r="H22" s="78">
        <v>0</v>
      </c>
      <c r="I22" s="78">
        <v>0</v>
      </c>
      <c r="J22" s="78">
        <v>0</v>
      </c>
      <c r="K22" s="78">
        <v>0</v>
      </c>
      <c r="L22" s="36" t="e">
        <f t="shared" ca="1" si="2"/>
        <v>#N/A</v>
      </c>
      <c r="M22" s="37" t="e">
        <f t="shared" ca="1" si="0"/>
        <v>#N/A</v>
      </c>
      <c r="N22" s="37" t="e">
        <f t="shared" ca="1" si="1"/>
        <v>#N/A</v>
      </c>
      <c r="P22" s="35" t="e">
        <f t="shared" ref="P22:P84" ca="1" si="17">IF(P21&lt;term,P21+1,IF(P21=term,"Total",""))</f>
        <v>#N/A</v>
      </c>
      <c r="Q22" s="59" t="e">
        <f t="shared" ca="1" si="3"/>
        <v>#N/A</v>
      </c>
      <c r="R22" s="44" t="e">
        <f t="shared" ca="1" si="13"/>
        <v>#N/A</v>
      </c>
      <c r="S22" s="37" t="e">
        <f ca="1">IF(P22="","",IF(P22="Total",SUM($S$19:S21),VLOOKUP($P22,$B$12:$L76,11,FALSE)))</f>
        <v>#N/A</v>
      </c>
      <c r="T22" s="44" t="e">
        <f ca="1">IF(payfreq="Annually",IF(P22="","",IF(P22="Total",SUM($T$19:T21),Adj_Rate*$R22)),IF(payfreq="Semiannually",IF(P22="","",IF(P22="Total",SUM($T$19:T21),Adj_Rate/2*$R22)),IF(payfreq="Quarterly",IF(P22="","",IF(P22="Total",SUM($T$19:T21),Adj_Rate/4*$R22)),IF(payfreq="Monthly",IF(P22="","",IF(P22="Total",SUM($T$19:T21),Adj_Rate/12*$R22)),""))))</f>
        <v>#N/A</v>
      </c>
      <c r="U22" s="37" t="e">
        <f t="shared" ca="1" si="14"/>
        <v>#N/A</v>
      </c>
      <c r="V22" s="44" t="e">
        <f t="shared" ca="1" si="15"/>
        <v>#N/A</v>
      </c>
      <c r="Z22" s="14">
        <f t="shared" si="4"/>
        <v>45839</v>
      </c>
      <c r="AA22" s="14">
        <f t="shared" si="4"/>
        <v>46203</v>
      </c>
      <c r="AB22">
        <f t="shared" si="5"/>
        <v>2026</v>
      </c>
      <c r="AC22" s="80" t="e">
        <f t="shared" ca="1" si="6"/>
        <v>#N/A</v>
      </c>
      <c r="AD22" s="80" t="e">
        <f t="shared" ca="1" si="7"/>
        <v>#N/A</v>
      </c>
      <c r="AF22" s="14">
        <f t="shared" ref="AF22:AG22" si="18">DATE(YEAR(AF21)+1,MONTH(AF21),DAY(AF21))</f>
        <v>45839</v>
      </c>
      <c r="AG22" s="14">
        <f t="shared" si="18"/>
        <v>46203</v>
      </c>
      <c r="AH22">
        <f t="shared" si="9"/>
        <v>2026</v>
      </c>
      <c r="AI22" s="80" t="e">
        <f t="shared" ca="1" si="10"/>
        <v>#N/A</v>
      </c>
      <c r="AJ22" s="80" t="e">
        <f t="shared" ca="1" si="11"/>
        <v>#N/A</v>
      </c>
    </row>
    <row r="23" spans="2:36">
      <c r="B23" s="38">
        <v>4</v>
      </c>
      <c r="C23" s="77" t="e">
        <f t="shared" ca="1" si="12"/>
        <v>#N/A</v>
      </c>
      <c r="D23" s="78" t="e">
        <f ca="1">+IF(AND(B23&lt;$G$7),VLOOKUP($B$1,Inventory!$A$1:$BC$500,35,FALSE),IF(AND(B23=$G$7,pmt_timing="End"),VLOOKUP($B$1,Inventory!$A$1:$BC$500,35,FALSE),0))</f>
        <v>#N/A</v>
      </c>
      <c r="E23" s="78">
        <v>0</v>
      </c>
      <c r="F23" s="78">
        <v>0</v>
      </c>
      <c r="G23" s="78">
        <v>0</v>
      </c>
      <c r="H23" s="78">
        <v>0</v>
      </c>
      <c r="I23" s="78">
        <v>0</v>
      </c>
      <c r="J23" s="78">
        <v>0</v>
      </c>
      <c r="K23" s="78">
        <v>0</v>
      </c>
      <c r="L23" s="36" t="e">
        <f t="shared" ca="1" si="2"/>
        <v>#N/A</v>
      </c>
      <c r="M23" s="37" t="e">
        <f t="shared" ca="1" si="0"/>
        <v>#N/A</v>
      </c>
      <c r="N23" s="37" t="e">
        <f t="shared" ca="1" si="1"/>
        <v>#N/A</v>
      </c>
      <c r="P23" s="35" t="e">
        <f t="shared" ca="1" si="17"/>
        <v>#N/A</v>
      </c>
      <c r="Q23" s="59" t="e">
        <f t="shared" ca="1" si="3"/>
        <v>#N/A</v>
      </c>
      <c r="R23" s="44" t="e">
        <f t="shared" ca="1" si="13"/>
        <v>#N/A</v>
      </c>
      <c r="S23" s="37" t="e">
        <f ca="1">IF(P23="","",IF(P23="Total",SUM($S$19:S22),VLOOKUP($P23,$B$12:$L77,11,FALSE)))</f>
        <v>#N/A</v>
      </c>
      <c r="T23" s="44" t="e">
        <f ca="1">IF(payfreq="Annually",IF(P23="","",IF(P23="Total",SUM($T$19:T22),Adj_Rate*$R23)),IF(payfreq="Semiannually",IF(P23="","",IF(P23="Total",SUM($T$19:T22),Adj_Rate/2*$R23)),IF(payfreq="Quarterly",IF(P23="","",IF(P23="Total",SUM($T$19:T22),Adj_Rate/4*$R23)),IF(payfreq="Monthly",IF(P23="","",IF(P23="Total",SUM($T$19:T22),Adj_Rate/12*$R23)),""))))</f>
        <v>#N/A</v>
      </c>
      <c r="U23" s="37" t="e">
        <f t="shared" ca="1" si="14"/>
        <v>#N/A</v>
      </c>
      <c r="V23" s="44" t="e">
        <f t="shared" ca="1" si="15"/>
        <v>#N/A</v>
      </c>
      <c r="Z23" s="14">
        <f t="shared" si="4"/>
        <v>46204</v>
      </c>
      <c r="AA23" s="14">
        <f>DATE(YEAR(AA22)+1,MONTH(AA22),DAY(AA22))</f>
        <v>46568</v>
      </c>
      <c r="AB23">
        <f t="shared" si="5"/>
        <v>2027</v>
      </c>
      <c r="AC23" s="80" t="e">
        <f t="shared" ca="1" si="6"/>
        <v>#N/A</v>
      </c>
      <c r="AD23" s="80" t="e">
        <f t="shared" ca="1" si="7"/>
        <v>#N/A</v>
      </c>
      <c r="AF23" s="14">
        <f t="shared" ref="AF23" si="19">DATE(YEAR(AF22)+1,MONTH(AF22),DAY(AF22))</f>
        <v>46204</v>
      </c>
      <c r="AG23" s="14">
        <f>DATE(YEAR(AG22)+1,MONTH(AG22),DAY(AG22))</f>
        <v>46568</v>
      </c>
      <c r="AH23">
        <f t="shared" si="9"/>
        <v>2027</v>
      </c>
      <c r="AI23" s="80" t="e">
        <f t="shared" ca="1" si="10"/>
        <v>#N/A</v>
      </c>
      <c r="AJ23" s="80" t="e">
        <f t="shared" ca="1" si="11"/>
        <v>#N/A</v>
      </c>
    </row>
    <row r="24" spans="2:36">
      <c r="B24" s="38">
        <v>5</v>
      </c>
      <c r="C24" s="77" t="e">
        <f t="shared" ca="1" si="12"/>
        <v>#N/A</v>
      </c>
      <c r="D24" s="78" t="e">
        <f ca="1">+IF(AND(B24&lt;$G$7),VLOOKUP($B$1,Inventory!$A$1:$BC$500,35,FALSE),IF(AND(B24=$G$7,pmt_timing="End"),VLOOKUP($B$1,Inventory!$A$1:$BC$500,35,FALSE),0))</f>
        <v>#N/A</v>
      </c>
      <c r="E24" s="78">
        <v>0</v>
      </c>
      <c r="F24" s="78">
        <v>0</v>
      </c>
      <c r="G24" s="78">
        <v>0</v>
      </c>
      <c r="H24" s="78">
        <v>0</v>
      </c>
      <c r="I24" s="78">
        <v>0</v>
      </c>
      <c r="J24" s="78">
        <v>0</v>
      </c>
      <c r="K24" s="78">
        <v>0</v>
      </c>
      <c r="L24" s="36" t="e">
        <f t="shared" ca="1" si="2"/>
        <v>#N/A</v>
      </c>
      <c r="M24" s="37" t="e">
        <f t="shared" ca="1" si="0"/>
        <v>#N/A</v>
      </c>
      <c r="N24" s="37" t="e">
        <f t="shared" ca="1" si="1"/>
        <v>#N/A</v>
      </c>
      <c r="P24" s="35" t="e">
        <f t="shared" ca="1" si="17"/>
        <v>#N/A</v>
      </c>
      <c r="Q24" s="59" t="e">
        <f t="shared" ca="1" si="3"/>
        <v>#N/A</v>
      </c>
      <c r="R24" s="44" t="e">
        <f t="shared" ca="1" si="13"/>
        <v>#N/A</v>
      </c>
      <c r="S24" s="37" t="e">
        <f ca="1">IF(P24="","",IF(P24="Total",SUM($S$19:S23),VLOOKUP($P24,$B$12:$L78,11,FALSE)))</f>
        <v>#N/A</v>
      </c>
      <c r="T24" s="44" t="e">
        <f ca="1">IF(payfreq="Annually",IF(P24="","",IF(P24="Total",SUM($T$19:T23),Adj_Rate*$R24)),IF(payfreq="Semiannually",IF(P24="","",IF(P24="Total",SUM($T$19:T23),Adj_Rate/2*$R24)),IF(payfreq="Quarterly",IF(P24="","",IF(P24="Total",SUM($T$19:T23),Adj_Rate/4*$R24)),IF(payfreq="Monthly",IF(P24="","",IF(P24="Total",SUM($T$19:T23),Adj_Rate/12*$R24)),""))))</f>
        <v>#N/A</v>
      </c>
      <c r="U24" s="37" t="e">
        <f t="shared" ca="1" si="14"/>
        <v>#N/A</v>
      </c>
      <c r="V24" s="44" t="e">
        <f t="shared" ca="1" si="15"/>
        <v>#N/A</v>
      </c>
      <c r="Z24" s="14">
        <f>DATE(YEAR(Z23)+1,MONTH(Z23),DAY(Z23))</f>
        <v>46569</v>
      </c>
      <c r="AA24" s="14">
        <f>DATE(YEAR(AA23)+1,MONTH(AA23),DAY(AA23))</f>
        <v>46934</v>
      </c>
      <c r="AB24">
        <f t="shared" si="5"/>
        <v>2028</v>
      </c>
      <c r="AC24" s="80" t="e">
        <f t="shared" ca="1" si="6"/>
        <v>#N/A</v>
      </c>
      <c r="AD24" s="80" t="e">
        <f t="shared" ca="1" si="7"/>
        <v>#N/A</v>
      </c>
      <c r="AF24" s="14">
        <f>DATE(YEAR(AF23)+1,MONTH(AF23),DAY(AF23))</f>
        <v>46569</v>
      </c>
      <c r="AG24" s="14">
        <f>DATE(YEAR(AG23)+1,MONTH(AG23),DAY(AG23))</f>
        <v>46934</v>
      </c>
      <c r="AH24">
        <f t="shared" si="9"/>
        <v>2028</v>
      </c>
      <c r="AI24" s="80" t="e">
        <f t="shared" ca="1" si="10"/>
        <v>#N/A</v>
      </c>
      <c r="AJ24" s="80" t="e">
        <f t="shared" ca="1" si="11"/>
        <v>#N/A</v>
      </c>
    </row>
    <row r="25" spans="2:36">
      <c r="B25" s="38">
        <v>6</v>
      </c>
      <c r="C25" s="77" t="e">
        <f t="shared" ca="1" si="12"/>
        <v>#N/A</v>
      </c>
      <c r="D25" s="78" t="e">
        <f ca="1">+IF(AND(B25&lt;$G$7),VLOOKUP($B$1,Inventory!$A$1:$BC$500,35,FALSE),IF(AND(B25=$G$7,pmt_timing="End"),VLOOKUP($B$1,Inventory!$A$1:$BC$500,35,FALSE),0))</f>
        <v>#N/A</v>
      </c>
      <c r="E25" s="78">
        <v>0</v>
      </c>
      <c r="F25" s="78">
        <v>0</v>
      </c>
      <c r="G25" s="78">
        <v>0</v>
      </c>
      <c r="H25" s="78">
        <v>0</v>
      </c>
      <c r="I25" s="78">
        <v>0</v>
      </c>
      <c r="J25" s="78">
        <v>0</v>
      </c>
      <c r="K25" s="78">
        <v>0</v>
      </c>
      <c r="L25" s="36" t="e">
        <f t="shared" ca="1" si="2"/>
        <v>#N/A</v>
      </c>
      <c r="M25" s="37" t="e">
        <f t="shared" ca="1" si="0"/>
        <v>#N/A</v>
      </c>
      <c r="N25" s="37" t="e">
        <f t="shared" ca="1" si="1"/>
        <v>#N/A</v>
      </c>
      <c r="P25" s="35" t="e">
        <f t="shared" ca="1" si="17"/>
        <v>#N/A</v>
      </c>
      <c r="Q25" s="59" t="e">
        <f t="shared" ca="1" si="3"/>
        <v>#N/A</v>
      </c>
      <c r="R25" s="44" t="e">
        <f t="shared" ca="1" si="13"/>
        <v>#N/A</v>
      </c>
      <c r="S25" s="37" t="e">
        <f ca="1">IF(P25="","",IF(P25="Total",SUM($S$19:S24),VLOOKUP($P25,$B$12:$L79,11,FALSE)))</f>
        <v>#N/A</v>
      </c>
      <c r="T25" s="44" t="e">
        <f ca="1">IF(payfreq="Annually",IF(P25="","",IF(P25="Total",SUM($T$19:T24),Adj_Rate*$R25)),IF(payfreq="Semiannually",IF(P25="","",IF(P25="Total",SUM($T$19:T24),Adj_Rate/2*$R25)),IF(payfreq="Quarterly",IF(P25="","",IF(P25="Total",SUM($T$19:T24),Adj_Rate/4*$R25)),IF(payfreq="Monthly",IF(P25="","",IF(P25="Total",SUM($T$19:T24),Adj_Rate/12*$R25)),""))))</f>
        <v>#N/A</v>
      </c>
      <c r="U25" s="37" t="e">
        <f t="shared" ca="1" si="14"/>
        <v>#N/A</v>
      </c>
      <c r="V25" s="44" t="e">
        <f t="shared" ca="1" si="15"/>
        <v>#N/A</v>
      </c>
      <c r="Z25" s="14">
        <f>DATE(YEAR(Z24)+1,MONTH(Z24),DAY(Z24))</f>
        <v>46935</v>
      </c>
      <c r="AA25" s="14">
        <f t="shared" ref="Z25:AA40" si="20">DATE(YEAR(AA24)+5,MONTH(AA24),DAY(AA24))</f>
        <v>48760</v>
      </c>
      <c r="AB25">
        <f t="shared" si="5"/>
        <v>2033</v>
      </c>
      <c r="AC25" s="80" t="e">
        <f t="shared" ca="1" si="6"/>
        <v>#N/A</v>
      </c>
      <c r="AD25" s="80" t="e">
        <f t="shared" ca="1" si="7"/>
        <v>#N/A</v>
      </c>
      <c r="AF25" s="14">
        <f>DATE(YEAR(AF24)+1,MONTH(AF24),DAY(AF24))</f>
        <v>46935</v>
      </c>
      <c r="AG25" s="14">
        <f t="shared" ref="AG25:AG65" si="21">DATE(YEAR(AG24)+5,MONTH(AG24),DAY(AG24))</f>
        <v>48760</v>
      </c>
      <c r="AH25">
        <f t="shared" si="9"/>
        <v>2033</v>
      </c>
      <c r="AI25" s="80" t="e">
        <f t="shared" ca="1" si="10"/>
        <v>#N/A</v>
      </c>
      <c r="AJ25" s="80" t="e">
        <f t="shared" ca="1" si="11"/>
        <v>#N/A</v>
      </c>
    </row>
    <row r="26" spans="2:36">
      <c r="B26" s="38">
        <v>7</v>
      </c>
      <c r="C26" s="77" t="e">
        <f t="shared" ca="1" si="12"/>
        <v>#N/A</v>
      </c>
      <c r="D26" s="78" t="e">
        <f ca="1">+IF(AND(B26&lt;$G$7),VLOOKUP($B$1,Inventory!$A$1:$BC$500,35,FALSE),IF(AND(B26=$G$7,pmt_timing="End"),VLOOKUP($B$1,Inventory!$A$1:$BC$500,35,FALSE),0))</f>
        <v>#N/A</v>
      </c>
      <c r="E26" s="78">
        <v>0</v>
      </c>
      <c r="F26" s="78">
        <v>0</v>
      </c>
      <c r="G26" s="78">
        <v>0</v>
      </c>
      <c r="H26" s="78">
        <v>0</v>
      </c>
      <c r="I26" s="78">
        <v>0</v>
      </c>
      <c r="J26" s="78">
        <v>0</v>
      </c>
      <c r="K26" s="78">
        <v>0</v>
      </c>
      <c r="L26" s="36" t="e">
        <f t="shared" ca="1" si="2"/>
        <v>#N/A</v>
      </c>
      <c r="M26" s="37" t="e">
        <f t="shared" ca="1" si="0"/>
        <v>#N/A</v>
      </c>
      <c r="N26" s="37" t="e">
        <f t="shared" ca="1" si="1"/>
        <v>#N/A</v>
      </c>
      <c r="P26" s="35" t="e">
        <f t="shared" ca="1" si="17"/>
        <v>#N/A</v>
      </c>
      <c r="Q26" s="59" t="e">
        <f t="shared" ca="1" si="3"/>
        <v>#N/A</v>
      </c>
      <c r="R26" s="44" t="e">
        <f t="shared" ca="1" si="13"/>
        <v>#N/A</v>
      </c>
      <c r="S26" s="37" t="e">
        <f ca="1">IF(P26="","",IF(P26="Total",SUM($S$19:S25),VLOOKUP($P26,$B$12:$L80,11,FALSE)))</f>
        <v>#N/A</v>
      </c>
      <c r="T26" s="44" t="e">
        <f ca="1">IF(payfreq="Annually",IF(P26="","",IF(P26="Total",SUM($T$19:T25),Adj_Rate*$R26)),IF(payfreq="Semiannually",IF(P26="","",IF(P26="Total",SUM($T$19:T25),Adj_Rate/2*$R26)),IF(payfreq="Quarterly",IF(P26="","",IF(P26="Total",SUM($T$19:T25),Adj_Rate/4*$R26)),IF(payfreq="Monthly",IF(P26="","",IF(P26="Total",SUM($T$19:T25),Adj_Rate/12*$R26)),""))))</f>
        <v>#N/A</v>
      </c>
      <c r="U26" s="37" t="e">
        <f t="shared" ca="1" si="14"/>
        <v>#N/A</v>
      </c>
      <c r="V26" s="44" t="e">
        <f t="shared" ca="1" si="15"/>
        <v>#N/A</v>
      </c>
      <c r="Z26" s="14">
        <f t="shared" si="20"/>
        <v>48761</v>
      </c>
      <c r="AA26" s="14">
        <f t="shared" si="20"/>
        <v>50586</v>
      </c>
      <c r="AB26">
        <f t="shared" si="5"/>
        <v>2038</v>
      </c>
      <c r="AC26" s="80" t="e">
        <f t="shared" ca="1" si="6"/>
        <v>#N/A</v>
      </c>
      <c r="AD26" s="80" t="e">
        <f t="shared" ca="1" si="7"/>
        <v>#N/A</v>
      </c>
      <c r="AF26" s="14">
        <f>DATE(YEAR(AF25)+5,MONTH(AF25),DAY(AF25))</f>
        <v>48761</v>
      </c>
      <c r="AG26" s="14">
        <f t="shared" si="21"/>
        <v>50586</v>
      </c>
      <c r="AH26">
        <f t="shared" si="9"/>
        <v>2038</v>
      </c>
      <c r="AI26" s="80" t="e">
        <f t="shared" ca="1" si="10"/>
        <v>#N/A</v>
      </c>
      <c r="AJ26" s="80" t="e">
        <f t="shared" ca="1" si="11"/>
        <v>#N/A</v>
      </c>
    </row>
    <row r="27" spans="2:36">
      <c r="B27" s="38">
        <v>8</v>
      </c>
      <c r="C27" s="77" t="e">
        <f t="shared" ca="1" si="12"/>
        <v>#N/A</v>
      </c>
      <c r="D27" s="78" t="e">
        <f ca="1">+IF(AND(B27&lt;$G$7),VLOOKUP($B$1,Inventory!$A$1:$BC$500,35,FALSE),IF(AND(B27=$G$7,pmt_timing="End"),VLOOKUP($B$1,Inventory!$A$1:$BC$500,35,FALSE),0))</f>
        <v>#N/A</v>
      </c>
      <c r="E27" s="78">
        <v>0</v>
      </c>
      <c r="F27" s="78">
        <v>0</v>
      </c>
      <c r="G27" s="78">
        <v>0</v>
      </c>
      <c r="H27" s="78">
        <v>0</v>
      </c>
      <c r="I27" s="78">
        <v>0</v>
      </c>
      <c r="J27" s="78">
        <v>0</v>
      </c>
      <c r="K27" s="78">
        <v>0</v>
      </c>
      <c r="L27" s="36" t="e">
        <f t="shared" ca="1" si="2"/>
        <v>#N/A</v>
      </c>
      <c r="M27" s="37" t="e">
        <f t="shared" ca="1" si="0"/>
        <v>#N/A</v>
      </c>
      <c r="N27" s="37" t="e">
        <f t="shared" ca="1" si="1"/>
        <v>#N/A</v>
      </c>
      <c r="P27" s="35" t="e">
        <f t="shared" ca="1" si="17"/>
        <v>#N/A</v>
      </c>
      <c r="Q27" s="59" t="e">
        <f t="shared" ca="1" si="3"/>
        <v>#N/A</v>
      </c>
      <c r="R27" s="44" t="e">
        <f t="shared" ca="1" si="13"/>
        <v>#N/A</v>
      </c>
      <c r="S27" s="37" t="e">
        <f ca="1">IF(P27="","",IF(P27="Total",SUM($S$19:S26),VLOOKUP($P27,$B$12:$L81,11,FALSE)))</f>
        <v>#N/A</v>
      </c>
      <c r="T27" s="44" t="e">
        <f ca="1">IF(payfreq="Annually",IF(P27="","",IF(P27="Total",SUM($T$19:T26),Adj_Rate*$R27)),IF(payfreq="Semiannually",IF(P27="","",IF(P27="Total",SUM($T$19:T26),Adj_Rate/2*$R27)),IF(payfreq="Quarterly",IF(P27="","",IF(P27="Total",SUM($T$19:T26),Adj_Rate/4*$R27)),IF(payfreq="Monthly",IF(P27="","",IF(P27="Total",SUM($T$19:T26),Adj_Rate/12*$R27)),""))))</f>
        <v>#N/A</v>
      </c>
      <c r="U27" s="37" t="e">
        <f t="shared" ca="1" si="14"/>
        <v>#N/A</v>
      </c>
      <c r="V27" s="44" t="e">
        <f t="shared" ca="1" si="15"/>
        <v>#N/A</v>
      </c>
      <c r="Z27" s="14">
        <f>DATE(YEAR(Z26)+5,MONTH(Z26),DAY(Z26))</f>
        <v>50587</v>
      </c>
      <c r="AA27" s="14">
        <f t="shared" si="20"/>
        <v>52412</v>
      </c>
      <c r="AB27">
        <f t="shared" si="5"/>
        <v>2043</v>
      </c>
      <c r="AC27" s="80" t="e">
        <f t="shared" ca="1" si="6"/>
        <v>#N/A</v>
      </c>
      <c r="AD27" s="80" t="e">
        <f t="shared" ca="1" si="7"/>
        <v>#N/A</v>
      </c>
      <c r="AF27" s="14">
        <f>DATE(YEAR(AF26)+5,MONTH(AF26),DAY(AF26))</f>
        <v>50587</v>
      </c>
      <c r="AG27" s="14">
        <f t="shared" si="21"/>
        <v>52412</v>
      </c>
      <c r="AH27">
        <f t="shared" si="9"/>
        <v>2043</v>
      </c>
      <c r="AI27" s="80" t="e">
        <f t="shared" ca="1" si="10"/>
        <v>#N/A</v>
      </c>
      <c r="AJ27" s="80" t="e">
        <f t="shared" ca="1" si="11"/>
        <v>#N/A</v>
      </c>
    </row>
    <row r="28" spans="2:36">
      <c r="B28" s="38">
        <v>9</v>
      </c>
      <c r="C28" s="77" t="e">
        <f t="shared" ca="1" si="12"/>
        <v>#N/A</v>
      </c>
      <c r="D28" s="78" t="e">
        <f ca="1">+IF(AND(B28&lt;$G$7),VLOOKUP($B$1,Inventory!$A$1:$BC$500,35,FALSE),IF(AND(B28=$G$7,pmt_timing="End"),VLOOKUP($B$1,Inventory!$A$1:$BC$500,35,FALSE),0))</f>
        <v>#N/A</v>
      </c>
      <c r="E28" s="78">
        <v>0</v>
      </c>
      <c r="F28" s="78">
        <v>0</v>
      </c>
      <c r="G28" s="78">
        <v>0</v>
      </c>
      <c r="H28" s="78">
        <v>0</v>
      </c>
      <c r="I28" s="78">
        <v>0</v>
      </c>
      <c r="J28" s="78">
        <v>0</v>
      </c>
      <c r="K28" s="78">
        <v>0</v>
      </c>
      <c r="L28" s="36" t="e">
        <f t="shared" ca="1" si="2"/>
        <v>#N/A</v>
      </c>
      <c r="M28" s="37" t="e">
        <f t="shared" ca="1" si="0"/>
        <v>#N/A</v>
      </c>
      <c r="N28" s="37" t="e">
        <f t="shared" ca="1" si="1"/>
        <v>#N/A</v>
      </c>
      <c r="P28" s="35" t="e">
        <f t="shared" ca="1" si="17"/>
        <v>#N/A</v>
      </c>
      <c r="Q28" s="59" t="e">
        <f t="shared" ca="1" si="3"/>
        <v>#N/A</v>
      </c>
      <c r="R28" s="44" t="e">
        <f t="shared" ca="1" si="13"/>
        <v>#N/A</v>
      </c>
      <c r="S28" s="37" t="e">
        <f ca="1">IF(P28="","",IF(P28="Total",SUM($S$19:S27),VLOOKUP($P28,$B$12:$L82,11,FALSE)))</f>
        <v>#N/A</v>
      </c>
      <c r="T28" s="44" t="e">
        <f ca="1">IF(payfreq="Annually",IF(P28="","",IF(P28="Total",SUM($T$19:T27),Adj_Rate*$R28)),IF(payfreq="Semiannually",IF(P28="","",IF(P28="Total",SUM($T$19:T27),Adj_Rate/2*$R28)),IF(payfreq="Quarterly",IF(P28="","",IF(P28="Total",SUM($T$19:T27),Adj_Rate/4*$R28)),IF(payfreq="Monthly",IF(P28="","",IF(P28="Total",SUM($T$19:T27),Adj_Rate/12*$R28)),""))))</f>
        <v>#N/A</v>
      </c>
      <c r="U28" s="37" t="e">
        <f t="shared" ca="1" si="14"/>
        <v>#N/A</v>
      </c>
      <c r="V28" s="44" t="e">
        <f t="shared" ca="1" si="15"/>
        <v>#N/A</v>
      </c>
      <c r="Z28" s="14">
        <f t="shared" si="20"/>
        <v>52413</v>
      </c>
      <c r="AA28" s="14">
        <f t="shared" si="20"/>
        <v>54239</v>
      </c>
      <c r="AB28">
        <f t="shared" si="5"/>
        <v>2048</v>
      </c>
      <c r="AC28" s="80" t="e">
        <f t="shared" ca="1" si="6"/>
        <v>#N/A</v>
      </c>
      <c r="AD28" s="80" t="e">
        <f t="shared" ca="1" si="7"/>
        <v>#N/A</v>
      </c>
      <c r="AF28" s="14">
        <f t="shared" ref="AF28:AF65" si="22">DATE(YEAR(AF27)+5,MONTH(AF27),DAY(AF27))</f>
        <v>52413</v>
      </c>
      <c r="AG28" s="14">
        <f t="shared" si="21"/>
        <v>54239</v>
      </c>
      <c r="AH28">
        <f t="shared" si="9"/>
        <v>2048</v>
      </c>
      <c r="AI28" s="80" t="e">
        <f t="shared" ca="1" si="10"/>
        <v>#N/A</v>
      </c>
      <c r="AJ28" s="80" t="e">
        <f t="shared" ca="1" si="11"/>
        <v>#N/A</v>
      </c>
    </row>
    <row r="29" spans="2:36">
      <c r="B29" s="38">
        <v>10</v>
      </c>
      <c r="C29" s="77" t="e">
        <f t="shared" ca="1" si="12"/>
        <v>#N/A</v>
      </c>
      <c r="D29" s="78" t="e">
        <f ca="1">+IF(AND(B29&lt;$G$7),VLOOKUP($B$1,Inventory!$A$1:$BC$500,35,FALSE),IF(AND(B29=$G$7,pmt_timing="End"),VLOOKUP($B$1,Inventory!$A$1:$BC$500,35,FALSE),0))</f>
        <v>#N/A</v>
      </c>
      <c r="E29" s="78">
        <v>0</v>
      </c>
      <c r="F29" s="78">
        <v>0</v>
      </c>
      <c r="G29" s="78">
        <v>0</v>
      </c>
      <c r="H29" s="78">
        <v>0</v>
      </c>
      <c r="I29" s="78">
        <v>0</v>
      </c>
      <c r="J29" s="78">
        <v>0</v>
      </c>
      <c r="K29" s="78">
        <v>0</v>
      </c>
      <c r="L29" s="36" t="e">
        <f t="shared" ca="1" si="2"/>
        <v>#N/A</v>
      </c>
      <c r="M29" s="37" t="e">
        <f t="shared" ca="1" si="0"/>
        <v>#N/A</v>
      </c>
      <c r="N29" s="37" t="e">
        <f t="shared" ca="1" si="1"/>
        <v>#N/A</v>
      </c>
      <c r="P29" s="35" t="e">
        <f t="shared" ca="1" si="17"/>
        <v>#N/A</v>
      </c>
      <c r="Q29" s="59" t="e">
        <f t="shared" ca="1" si="3"/>
        <v>#N/A</v>
      </c>
      <c r="R29" s="44" t="e">
        <f t="shared" ca="1" si="13"/>
        <v>#N/A</v>
      </c>
      <c r="S29" s="37" t="e">
        <f ca="1">IF(P29="","",IF(P29="Total",SUM($S$19:S28),VLOOKUP($P29,$B$12:$L83,11,FALSE)))</f>
        <v>#N/A</v>
      </c>
      <c r="T29" s="44" t="e">
        <f ca="1">IF(payfreq="Annually",IF(P29="","",IF(P29="Total",SUM($T$19:T28),Adj_Rate*$R29)),IF(payfreq="Semiannually",IF(P29="","",IF(P29="Total",SUM($T$19:T28),Adj_Rate/2*$R29)),IF(payfreq="Quarterly",IF(P29="","",IF(P29="Total",SUM($T$19:T28),Adj_Rate/4*$R29)),IF(payfreq="Monthly",IF(P29="","",IF(P29="Total",SUM($T$19:T28),Adj_Rate/12*$R29)),""))))</f>
        <v>#N/A</v>
      </c>
      <c r="U29" s="37" t="e">
        <f t="shared" ca="1" si="14"/>
        <v>#N/A</v>
      </c>
      <c r="V29" s="44" t="e">
        <f t="shared" ca="1" si="15"/>
        <v>#N/A</v>
      </c>
      <c r="Z29" s="14">
        <f t="shared" si="20"/>
        <v>54240</v>
      </c>
      <c r="AA29" s="14">
        <f t="shared" si="20"/>
        <v>56065</v>
      </c>
      <c r="AB29">
        <f t="shared" si="5"/>
        <v>2053</v>
      </c>
      <c r="AC29" s="80" t="e">
        <f t="shared" ca="1" si="6"/>
        <v>#N/A</v>
      </c>
      <c r="AD29" s="80" t="e">
        <f t="shared" ca="1" si="7"/>
        <v>#N/A</v>
      </c>
      <c r="AF29" s="14">
        <f t="shared" si="22"/>
        <v>54240</v>
      </c>
      <c r="AG29" s="14">
        <f t="shared" si="21"/>
        <v>56065</v>
      </c>
      <c r="AH29">
        <f t="shared" si="9"/>
        <v>2053</v>
      </c>
      <c r="AI29" s="80" t="e">
        <f t="shared" ca="1" si="10"/>
        <v>#N/A</v>
      </c>
      <c r="AJ29" s="80" t="e">
        <f t="shared" ca="1" si="11"/>
        <v>#N/A</v>
      </c>
    </row>
    <row r="30" spans="2:36">
      <c r="B30" s="38">
        <v>11</v>
      </c>
      <c r="C30" s="77" t="e">
        <f t="shared" ca="1" si="12"/>
        <v>#N/A</v>
      </c>
      <c r="D30" s="78" t="e">
        <f ca="1">+IF(AND(B30&lt;$G$7),VLOOKUP($B$1,Inventory!$A$1:$BC$500,35,FALSE),IF(AND(B30=$G$7,pmt_timing="End"),VLOOKUP($B$1,Inventory!$A$1:$BC$500,35,FALSE),0))</f>
        <v>#N/A</v>
      </c>
      <c r="E30" s="78">
        <v>0</v>
      </c>
      <c r="F30" s="78">
        <v>0</v>
      </c>
      <c r="G30" s="78">
        <v>0</v>
      </c>
      <c r="H30" s="78">
        <v>0</v>
      </c>
      <c r="I30" s="78">
        <v>0</v>
      </c>
      <c r="J30" s="78">
        <v>0</v>
      </c>
      <c r="K30" s="78">
        <v>0</v>
      </c>
      <c r="L30" s="36" t="e">
        <f t="shared" ca="1" si="2"/>
        <v>#N/A</v>
      </c>
      <c r="M30" s="37" t="e">
        <f t="shared" ca="1" si="0"/>
        <v>#N/A</v>
      </c>
      <c r="N30" s="37" t="e">
        <f t="shared" ca="1" si="1"/>
        <v>#N/A</v>
      </c>
      <c r="P30" s="35" t="e">
        <f t="shared" ca="1" si="17"/>
        <v>#N/A</v>
      </c>
      <c r="Q30" s="59" t="e">
        <f t="shared" ca="1" si="3"/>
        <v>#N/A</v>
      </c>
      <c r="R30" s="44" t="e">
        <f t="shared" ca="1" si="13"/>
        <v>#N/A</v>
      </c>
      <c r="S30" s="37" t="e">
        <f ca="1">IF(P30="","",IF(P30="Total",SUM($S$19:S29),VLOOKUP($P30,$B$12:$L84,11,FALSE)))</f>
        <v>#N/A</v>
      </c>
      <c r="T30" s="44" t="e">
        <f ca="1">IF(payfreq="Annually",IF(P30="","",IF(P30="Total",SUM($T$19:T29),Adj_Rate*$R30)),IF(payfreq="Semiannually",IF(P30="","",IF(P30="Total",SUM($T$19:T29),Adj_Rate/2*$R30)),IF(payfreq="Quarterly",IF(P30="","",IF(P30="Total",SUM($T$19:T29),Adj_Rate/4*$R30)),IF(payfreq="Monthly",IF(P30="","",IF(P30="Total",SUM($T$19:T29),Adj_Rate/12*$R30)),""))))</f>
        <v>#N/A</v>
      </c>
      <c r="U30" s="37" t="e">
        <f t="shared" ca="1" si="14"/>
        <v>#N/A</v>
      </c>
      <c r="V30" s="44" t="e">
        <f t="shared" ca="1" si="15"/>
        <v>#N/A</v>
      </c>
      <c r="Z30" s="14">
        <f t="shared" si="20"/>
        <v>56066</v>
      </c>
      <c r="AA30" s="14">
        <f t="shared" si="20"/>
        <v>57891</v>
      </c>
      <c r="AB30">
        <f t="shared" si="5"/>
        <v>2058</v>
      </c>
      <c r="AC30" s="80" t="e">
        <f t="shared" ca="1" si="6"/>
        <v>#N/A</v>
      </c>
      <c r="AD30" s="80" t="e">
        <f t="shared" ca="1" si="7"/>
        <v>#N/A</v>
      </c>
      <c r="AF30" s="14">
        <f t="shared" si="22"/>
        <v>56066</v>
      </c>
      <c r="AG30" s="14">
        <f t="shared" si="21"/>
        <v>57891</v>
      </c>
      <c r="AH30">
        <f t="shared" si="9"/>
        <v>2058</v>
      </c>
      <c r="AI30" s="80" t="e">
        <f t="shared" ca="1" si="10"/>
        <v>#N/A</v>
      </c>
      <c r="AJ30" s="80" t="e">
        <f t="shared" ca="1" si="11"/>
        <v>#N/A</v>
      </c>
    </row>
    <row r="31" spans="2:36">
      <c r="B31" s="38">
        <v>12</v>
      </c>
      <c r="C31" s="77" t="e">
        <f t="shared" ca="1" si="12"/>
        <v>#N/A</v>
      </c>
      <c r="D31" s="78" t="e">
        <f ca="1">+IF(AND(B31&lt;$G$7),VLOOKUP($B$1,Inventory!$A$1:$BC$500,35,FALSE),IF(AND(B31=$G$7,pmt_timing="End"),VLOOKUP($B$1,Inventory!$A$1:$BC$500,35,FALSE),0))</f>
        <v>#N/A</v>
      </c>
      <c r="E31" s="78">
        <v>0</v>
      </c>
      <c r="F31" s="78">
        <v>0</v>
      </c>
      <c r="G31" s="78">
        <v>0</v>
      </c>
      <c r="H31" s="78">
        <v>0</v>
      </c>
      <c r="I31" s="78">
        <v>0</v>
      </c>
      <c r="J31" s="78">
        <v>0</v>
      </c>
      <c r="K31" s="78">
        <v>0</v>
      </c>
      <c r="L31" s="36" t="e">
        <f t="shared" ca="1" si="2"/>
        <v>#N/A</v>
      </c>
      <c r="M31" s="37" t="e">
        <f t="shared" ca="1" si="0"/>
        <v>#N/A</v>
      </c>
      <c r="N31" s="37" t="e">
        <f t="shared" ca="1" si="1"/>
        <v>#N/A</v>
      </c>
      <c r="P31" s="35" t="e">
        <f t="shared" ca="1" si="17"/>
        <v>#N/A</v>
      </c>
      <c r="Q31" s="59" t="e">
        <f t="shared" ca="1" si="3"/>
        <v>#N/A</v>
      </c>
      <c r="R31" s="44" t="e">
        <f t="shared" ca="1" si="13"/>
        <v>#N/A</v>
      </c>
      <c r="S31" s="37" t="e">
        <f ca="1">IF(P31="","",IF(P31="Total",SUM($S$19:S30),VLOOKUP($P31,$B$12:$L85,11,FALSE)))</f>
        <v>#N/A</v>
      </c>
      <c r="T31" s="44" t="e">
        <f ca="1">IF(payfreq="Annually",IF(P31="","",IF(P31="Total",SUM($T$19:T30),Adj_Rate*$R31)),IF(payfreq="Semiannually",IF(P31="","",IF(P31="Total",SUM($T$19:T30),Adj_Rate/2*$R31)),IF(payfreq="Quarterly",IF(P31="","",IF(P31="Total",SUM($T$19:T30),Adj_Rate/4*$R31)),IF(payfreq="Monthly",IF(P31="","",IF(P31="Total",SUM($T$19:T30),Adj_Rate/12*$R31)),""))))</f>
        <v>#N/A</v>
      </c>
      <c r="U31" s="37" t="e">
        <f t="shared" ca="1" si="14"/>
        <v>#N/A</v>
      </c>
      <c r="V31" s="44" t="e">
        <f t="shared" ca="1" si="15"/>
        <v>#N/A</v>
      </c>
      <c r="Z31" s="14">
        <f t="shared" si="20"/>
        <v>57892</v>
      </c>
      <c r="AA31" s="14">
        <f t="shared" si="20"/>
        <v>59717</v>
      </c>
      <c r="AB31">
        <f t="shared" si="5"/>
        <v>2063</v>
      </c>
      <c r="AC31" s="80" t="e">
        <f t="shared" ca="1" si="6"/>
        <v>#N/A</v>
      </c>
      <c r="AD31" s="80" t="e">
        <f t="shared" ca="1" si="7"/>
        <v>#N/A</v>
      </c>
      <c r="AF31" s="14">
        <f t="shared" si="22"/>
        <v>57892</v>
      </c>
      <c r="AG31" s="14">
        <f t="shared" si="21"/>
        <v>59717</v>
      </c>
      <c r="AH31">
        <f t="shared" si="9"/>
        <v>2063</v>
      </c>
      <c r="AI31" s="80" t="e">
        <f t="shared" ca="1" si="10"/>
        <v>#N/A</v>
      </c>
      <c r="AJ31" s="80" t="e">
        <f t="shared" ca="1" si="11"/>
        <v>#N/A</v>
      </c>
    </row>
    <row r="32" spans="2:36">
      <c r="B32" s="38">
        <v>13</v>
      </c>
      <c r="C32" s="77" t="e">
        <f t="shared" ca="1" si="12"/>
        <v>#N/A</v>
      </c>
      <c r="D32" s="78" t="e">
        <f ca="1">+IF(AND(B32&lt;$G$7),VLOOKUP($B$1,Inventory!$A$1:$BC$500,35,FALSE),IF(AND(B32=$G$7,pmt_timing="End"),VLOOKUP($B$1,Inventory!$A$1:$BC$500,35,FALSE),0))</f>
        <v>#N/A</v>
      </c>
      <c r="E32" s="78">
        <v>0</v>
      </c>
      <c r="F32" s="78">
        <v>0</v>
      </c>
      <c r="G32" s="78">
        <v>0</v>
      </c>
      <c r="H32" s="78">
        <v>0</v>
      </c>
      <c r="I32" s="78">
        <v>0</v>
      </c>
      <c r="J32" s="78">
        <v>0</v>
      </c>
      <c r="K32" s="78">
        <v>0</v>
      </c>
      <c r="L32" s="36" t="e">
        <f t="shared" ca="1" si="2"/>
        <v>#N/A</v>
      </c>
      <c r="M32" s="37" t="e">
        <f t="shared" ca="1" si="0"/>
        <v>#N/A</v>
      </c>
      <c r="N32" s="37" t="e">
        <f t="shared" ca="1" si="1"/>
        <v>#N/A</v>
      </c>
      <c r="P32" s="35" t="e">
        <f t="shared" ca="1" si="17"/>
        <v>#N/A</v>
      </c>
      <c r="Q32" s="59" t="e">
        <f t="shared" ca="1" si="3"/>
        <v>#N/A</v>
      </c>
      <c r="R32" s="44" t="e">
        <f t="shared" ca="1" si="13"/>
        <v>#N/A</v>
      </c>
      <c r="S32" s="37" t="e">
        <f ca="1">IF(P32="","",IF(P32="Total",SUM($S$19:S31),VLOOKUP($P32,$B$12:$L86,11,FALSE)))</f>
        <v>#N/A</v>
      </c>
      <c r="T32" s="44" t="e">
        <f ca="1">IF(payfreq="Annually",IF(P32="","",IF(P32="Total",SUM($T$19:T31),Adj_Rate*$R32)),IF(payfreq="Semiannually",IF(P32="","",IF(P32="Total",SUM($T$19:T31),Adj_Rate/2*$R32)),IF(payfreq="Quarterly",IF(P32="","",IF(P32="Total",SUM($T$19:T31),Adj_Rate/4*$R32)),IF(payfreq="Monthly",IF(P32="","",IF(P32="Total",SUM($T$19:T31),Adj_Rate/12*$R32)),""))))</f>
        <v>#N/A</v>
      </c>
      <c r="U32" s="37" t="e">
        <f t="shared" ca="1" si="14"/>
        <v>#N/A</v>
      </c>
      <c r="V32" s="44" t="e">
        <f t="shared" ca="1" si="15"/>
        <v>#N/A</v>
      </c>
      <c r="Z32" s="14">
        <f t="shared" si="20"/>
        <v>59718</v>
      </c>
      <c r="AA32" s="14">
        <f t="shared" si="20"/>
        <v>61544</v>
      </c>
      <c r="AB32">
        <f t="shared" si="5"/>
        <v>2068</v>
      </c>
      <c r="AC32" s="80" t="e">
        <f t="shared" ca="1" si="6"/>
        <v>#N/A</v>
      </c>
      <c r="AD32" s="80" t="e">
        <f t="shared" ca="1" si="7"/>
        <v>#N/A</v>
      </c>
      <c r="AF32" s="14">
        <f t="shared" si="22"/>
        <v>59718</v>
      </c>
      <c r="AG32" s="14">
        <f t="shared" si="21"/>
        <v>61544</v>
      </c>
      <c r="AH32">
        <f t="shared" si="9"/>
        <v>2068</v>
      </c>
      <c r="AI32" s="80" t="e">
        <f t="shared" ca="1" si="10"/>
        <v>#N/A</v>
      </c>
      <c r="AJ32" s="80" t="e">
        <f t="shared" ca="1" si="11"/>
        <v>#N/A</v>
      </c>
    </row>
    <row r="33" spans="2:36">
      <c r="B33" s="38">
        <v>14</v>
      </c>
      <c r="C33" s="77" t="e">
        <f t="shared" ca="1" si="12"/>
        <v>#N/A</v>
      </c>
      <c r="D33" s="78" t="e">
        <f ca="1">+IF(AND(B33&lt;$G$7),VLOOKUP($B$1,Inventory!$A$1:$BC$500,35,FALSE),IF(AND(B33=$G$7,pmt_timing="End"),VLOOKUP($B$1,Inventory!$A$1:$BC$500,35,FALSE),0))</f>
        <v>#N/A</v>
      </c>
      <c r="E33" s="78">
        <v>0</v>
      </c>
      <c r="F33" s="78">
        <v>0</v>
      </c>
      <c r="G33" s="78">
        <v>0</v>
      </c>
      <c r="H33" s="78">
        <v>0</v>
      </c>
      <c r="I33" s="78">
        <v>0</v>
      </c>
      <c r="J33" s="78">
        <v>0</v>
      </c>
      <c r="K33" s="78">
        <v>0</v>
      </c>
      <c r="L33" s="36" t="e">
        <f t="shared" ca="1" si="2"/>
        <v>#N/A</v>
      </c>
      <c r="M33" s="37" t="e">
        <f t="shared" ca="1" si="0"/>
        <v>#N/A</v>
      </c>
      <c r="N33" s="37" t="e">
        <f t="shared" ca="1" si="1"/>
        <v>#N/A</v>
      </c>
      <c r="P33" s="35" t="e">
        <f t="shared" ca="1" si="17"/>
        <v>#N/A</v>
      </c>
      <c r="Q33" s="59" t="e">
        <f t="shared" ca="1" si="3"/>
        <v>#N/A</v>
      </c>
      <c r="R33" s="44" t="e">
        <f t="shared" ca="1" si="13"/>
        <v>#N/A</v>
      </c>
      <c r="S33" s="37" t="e">
        <f ca="1">IF(P33="","",IF(P33="Total",SUM($S$19:S32),VLOOKUP($P33,$B$12:$L87,11,FALSE)))</f>
        <v>#N/A</v>
      </c>
      <c r="T33" s="44" t="e">
        <f ca="1">IF(payfreq="Annually",IF(P33="","",IF(P33="Total",SUM($T$19:T32),Adj_Rate*$R33)),IF(payfreq="Semiannually",IF(P33="","",IF(P33="Total",SUM($T$19:T32),Adj_Rate/2*$R33)),IF(payfreq="Quarterly",IF(P33="","",IF(P33="Total",SUM($T$19:T32),Adj_Rate/4*$R33)),IF(payfreq="Monthly",IF(P33="","",IF(P33="Total",SUM($T$19:T32),Adj_Rate/12*$R33)),""))))</f>
        <v>#N/A</v>
      </c>
      <c r="U33" s="37" t="e">
        <f t="shared" ca="1" si="14"/>
        <v>#N/A</v>
      </c>
      <c r="V33" s="44" t="e">
        <f t="shared" ca="1" si="15"/>
        <v>#N/A</v>
      </c>
      <c r="Z33" s="14">
        <f t="shared" si="20"/>
        <v>61545</v>
      </c>
      <c r="AA33" s="14">
        <f t="shared" si="20"/>
        <v>63370</v>
      </c>
      <c r="AB33">
        <f t="shared" si="5"/>
        <v>2073</v>
      </c>
      <c r="AC33" s="80" t="e">
        <f t="shared" ca="1" si="6"/>
        <v>#N/A</v>
      </c>
      <c r="AD33" s="80" t="e">
        <f t="shared" ca="1" si="7"/>
        <v>#N/A</v>
      </c>
      <c r="AF33" s="14">
        <f t="shared" si="22"/>
        <v>61545</v>
      </c>
      <c r="AG33" s="14">
        <f t="shared" si="21"/>
        <v>63370</v>
      </c>
      <c r="AH33">
        <f t="shared" si="9"/>
        <v>2073</v>
      </c>
      <c r="AI33" s="80" t="e">
        <f t="shared" ca="1" si="10"/>
        <v>#N/A</v>
      </c>
      <c r="AJ33" s="80" t="e">
        <f t="shared" ca="1" si="11"/>
        <v>#N/A</v>
      </c>
    </row>
    <row r="34" spans="2:36">
      <c r="B34" s="38">
        <v>15</v>
      </c>
      <c r="C34" s="77" t="e">
        <f t="shared" ca="1" si="12"/>
        <v>#N/A</v>
      </c>
      <c r="D34" s="78" t="e">
        <f ca="1">+IF(AND(B34&lt;$G$7),VLOOKUP($B$1,Inventory!$A$1:$BC$500,35,FALSE),IF(AND(B34=$G$7,pmt_timing="End"),VLOOKUP($B$1,Inventory!$A$1:$BC$500,35,FALSE),0))</f>
        <v>#N/A</v>
      </c>
      <c r="E34" s="78">
        <v>0</v>
      </c>
      <c r="F34" s="78">
        <v>0</v>
      </c>
      <c r="G34" s="78">
        <v>0</v>
      </c>
      <c r="H34" s="78">
        <v>0</v>
      </c>
      <c r="I34" s="78">
        <v>0</v>
      </c>
      <c r="J34" s="78">
        <v>0</v>
      </c>
      <c r="K34" s="78">
        <v>0</v>
      </c>
      <c r="L34" s="36" t="e">
        <f t="shared" ca="1" si="2"/>
        <v>#N/A</v>
      </c>
      <c r="M34" s="37" t="e">
        <f t="shared" ca="1" si="0"/>
        <v>#N/A</v>
      </c>
      <c r="N34" s="37" t="e">
        <f t="shared" ca="1" si="1"/>
        <v>#N/A</v>
      </c>
      <c r="P34" s="35" t="e">
        <f t="shared" ca="1" si="17"/>
        <v>#N/A</v>
      </c>
      <c r="Q34" s="59" t="e">
        <f t="shared" ca="1" si="3"/>
        <v>#N/A</v>
      </c>
      <c r="R34" s="44" t="e">
        <f t="shared" ca="1" si="13"/>
        <v>#N/A</v>
      </c>
      <c r="S34" s="37" t="e">
        <f ca="1">IF(P34="","",IF(P34="Total",SUM($S$19:S33),VLOOKUP($P34,$B$12:$L88,11,FALSE)))</f>
        <v>#N/A</v>
      </c>
      <c r="T34" s="44" t="e">
        <f ca="1">IF(payfreq="Annually",IF(P34="","",IF(P34="Total",SUM($T$19:T33),Adj_Rate*$R34)),IF(payfreq="Semiannually",IF(P34="","",IF(P34="Total",SUM($T$19:T33),Adj_Rate/2*$R34)),IF(payfreq="Quarterly",IF(P34="","",IF(P34="Total",SUM($T$19:T33),Adj_Rate/4*$R34)),IF(payfreq="Monthly",IF(P34="","",IF(P34="Total",SUM($T$19:T33),Adj_Rate/12*$R34)),""))))</f>
        <v>#N/A</v>
      </c>
      <c r="U34" s="37" t="e">
        <f t="shared" ca="1" si="14"/>
        <v>#N/A</v>
      </c>
      <c r="V34" s="44" t="e">
        <f t="shared" ca="1" si="15"/>
        <v>#N/A</v>
      </c>
      <c r="Z34" s="14">
        <f t="shared" si="20"/>
        <v>63371</v>
      </c>
      <c r="AA34" s="14">
        <f t="shared" si="20"/>
        <v>65196</v>
      </c>
      <c r="AB34">
        <f t="shared" si="5"/>
        <v>2078</v>
      </c>
      <c r="AC34" s="80" t="e">
        <f t="shared" ca="1" si="6"/>
        <v>#N/A</v>
      </c>
      <c r="AD34" s="80" t="e">
        <f t="shared" ca="1" si="7"/>
        <v>#N/A</v>
      </c>
      <c r="AF34" s="14">
        <f t="shared" si="22"/>
        <v>63371</v>
      </c>
      <c r="AG34" s="14">
        <f t="shared" si="21"/>
        <v>65196</v>
      </c>
      <c r="AH34">
        <f t="shared" si="9"/>
        <v>2078</v>
      </c>
      <c r="AI34" s="80" t="e">
        <f t="shared" ca="1" si="10"/>
        <v>#N/A</v>
      </c>
      <c r="AJ34" s="80" t="e">
        <f t="shared" ca="1" si="11"/>
        <v>#N/A</v>
      </c>
    </row>
    <row r="35" spans="2:36">
      <c r="B35" s="38">
        <v>16</v>
      </c>
      <c r="C35" s="77" t="e">
        <f t="shared" ca="1" si="12"/>
        <v>#N/A</v>
      </c>
      <c r="D35" s="78" t="e">
        <f ca="1">+IF(AND(B35&lt;$G$7),VLOOKUP($B$1,Inventory!$A$1:$BC$500,35,FALSE),IF(AND(B35=$G$7,pmt_timing="End"),VLOOKUP($B$1,Inventory!$A$1:$BC$500,35,FALSE),0))</f>
        <v>#N/A</v>
      </c>
      <c r="E35" s="78">
        <v>0</v>
      </c>
      <c r="F35" s="78">
        <v>0</v>
      </c>
      <c r="G35" s="78">
        <v>0</v>
      </c>
      <c r="H35" s="78">
        <v>0</v>
      </c>
      <c r="I35" s="78">
        <v>0</v>
      </c>
      <c r="J35" s="78">
        <v>0</v>
      </c>
      <c r="K35" s="78">
        <v>0</v>
      </c>
      <c r="L35" s="36" t="e">
        <f t="shared" ca="1" si="2"/>
        <v>#N/A</v>
      </c>
      <c r="M35" s="37" t="e">
        <f t="shared" ca="1" si="0"/>
        <v>#N/A</v>
      </c>
      <c r="N35" s="37" t="e">
        <f t="shared" ca="1" si="1"/>
        <v>#N/A</v>
      </c>
      <c r="P35" s="35" t="e">
        <f t="shared" ca="1" si="17"/>
        <v>#N/A</v>
      </c>
      <c r="Q35" s="59" t="e">
        <f t="shared" ca="1" si="3"/>
        <v>#N/A</v>
      </c>
      <c r="R35" s="44" t="e">
        <f t="shared" ca="1" si="13"/>
        <v>#N/A</v>
      </c>
      <c r="S35" s="37" t="e">
        <f ca="1">IF(P35="","",IF(P35="Total",SUM($S$19:S34),VLOOKUP($P35,$B$12:$L89,11,FALSE)))</f>
        <v>#N/A</v>
      </c>
      <c r="T35" s="44" t="e">
        <f ca="1">IF(payfreq="Annually",IF(P35="","",IF(P35="Total",SUM($T$19:T34),Adj_Rate*$R35)),IF(payfreq="Semiannually",IF(P35="","",IF(P35="Total",SUM($T$19:T34),Adj_Rate/2*$R35)),IF(payfreq="Quarterly",IF(P35="","",IF(P35="Total",SUM($T$19:T34),Adj_Rate/4*$R35)),IF(payfreq="Monthly",IF(P35="","",IF(P35="Total",SUM($T$19:T34),Adj_Rate/12*$R35)),""))))</f>
        <v>#N/A</v>
      </c>
      <c r="U35" s="37" t="e">
        <f t="shared" ca="1" si="14"/>
        <v>#N/A</v>
      </c>
      <c r="V35" s="44" t="e">
        <f t="shared" ca="1" si="15"/>
        <v>#N/A</v>
      </c>
      <c r="Z35" s="14">
        <f t="shared" si="20"/>
        <v>65197</v>
      </c>
      <c r="AA35" s="14">
        <f t="shared" si="20"/>
        <v>67022</v>
      </c>
      <c r="AB35">
        <f t="shared" si="5"/>
        <v>2083</v>
      </c>
      <c r="AC35" s="80" t="e">
        <f t="shared" ca="1" si="6"/>
        <v>#N/A</v>
      </c>
      <c r="AD35" s="80" t="e">
        <f t="shared" ca="1" si="7"/>
        <v>#N/A</v>
      </c>
      <c r="AF35" s="14">
        <f t="shared" si="22"/>
        <v>65197</v>
      </c>
      <c r="AG35" s="14">
        <f t="shared" si="21"/>
        <v>67022</v>
      </c>
      <c r="AH35">
        <f t="shared" si="9"/>
        <v>2083</v>
      </c>
      <c r="AI35" s="80" t="e">
        <f t="shared" ca="1" si="10"/>
        <v>#N/A</v>
      </c>
      <c r="AJ35" s="80" t="e">
        <f t="shared" ca="1" si="11"/>
        <v>#N/A</v>
      </c>
    </row>
    <row r="36" spans="2:36">
      <c r="B36" s="38">
        <v>17</v>
      </c>
      <c r="C36" s="77" t="e">
        <f t="shared" ca="1" si="12"/>
        <v>#N/A</v>
      </c>
      <c r="D36" s="78" t="e">
        <f ca="1">+IF(AND(B36&lt;$G$7),VLOOKUP($B$1,Inventory!$A$1:$BC$500,35,FALSE),IF(AND(B36=$G$7,pmt_timing="End"),VLOOKUP($B$1,Inventory!$A$1:$BC$500,35,FALSE),0))</f>
        <v>#N/A</v>
      </c>
      <c r="E36" s="78">
        <v>0</v>
      </c>
      <c r="F36" s="78">
        <v>0</v>
      </c>
      <c r="G36" s="78">
        <v>0</v>
      </c>
      <c r="H36" s="78">
        <v>0</v>
      </c>
      <c r="I36" s="78">
        <v>0</v>
      </c>
      <c r="J36" s="78">
        <v>0</v>
      </c>
      <c r="K36" s="78">
        <v>0</v>
      </c>
      <c r="L36" s="36" t="e">
        <f t="shared" ca="1" si="2"/>
        <v>#N/A</v>
      </c>
      <c r="M36" s="37" t="e">
        <f t="shared" ca="1" si="0"/>
        <v>#N/A</v>
      </c>
      <c r="N36" s="37" t="e">
        <f t="shared" ca="1" si="1"/>
        <v>#N/A</v>
      </c>
      <c r="P36" s="35" t="e">
        <f t="shared" ca="1" si="17"/>
        <v>#N/A</v>
      </c>
      <c r="Q36" s="59" t="e">
        <f t="shared" ca="1" si="3"/>
        <v>#N/A</v>
      </c>
      <c r="R36" s="44" t="e">
        <f t="shared" ca="1" si="13"/>
        <v>#N/A</v>
      </c>
      <c r="S36" s="37" t="e">
        <f ca="1">IF(P36="","",IF(P36="Total",SUM($S$19:S35),VLOOKUP($P36,$B$12:$L90,11,FALSE)))</f>
        <v>#N/A</v>
      </c>
      <c r="T36" s="44" t="e">
        <f ca="1">IF(payfreq="Annually",IF(P36="","",IF(P36="Total",SUM($T$19:T35),Adj_Rate*$R36)),IF(payfreq="Semiannually",IF(P36="","",IF(P36="Total",SUM($T$19:T35),Adj_Rate/2*$R36)),IF(payfreq="Quarterly",IF(P36="","",IF(P36="Total",SUM($T$19:T35),Adj_Rate/4*$R36)),IF(payfreq="Monthly",IF(P36="","",IF(P36="Total",SUM($T$19:T35),Adj_Rate/12*$R36)),""))))</f>
        <v>#N/A</v>
      </c>
      <c r="U36" s="37" t="e">
        <f t="shared" ca="1" si="14"/>
        <v>#N/A</v>
      </c>
      <c r="V36" s="44" t="e">
        <f t="shared" ca="1" si="15"/>
        <v>#N/A</v>
      </c>
      <c r="Z36" s="14">
        <f t="shared" si="20"/>
        <v>67023</v>
      </c>
      <c r="AA36" s="14">
        <f t="shared" si="20"/>
        <v>68849</v>
      </c>
      <c r="AB36">
        <f t="shared" si="5"/>
        <v>2088</v>
      </c>
      <c r="AC36" s="80" t="e">
        <f t="shared" ca="1" si="6"/>
        <v>#N/A</v>
      </c>
      <c r="AD36" s="80" t="e">
        <f t="shared" ca="1" si="7"/>
        <v>#N/A</v>
      </c>
      <c r="AF36" s="14">
        <f t="shared" si="22"/>
        <v>67023</v>
      </c>
      <c r="AG36" s="14">
        <f t="shared" si="21"/>
        <v>68849</v>
      </c>
      <c r="AH36">
        <f t="shared" si="9"/>
        <v>2088</v>
      </c>
      <c r="AI36" s="80" t="e">
        <f t="shared" ca="1" si="10"/>
        <v>#N/A</v>
      </c>
      <c r="AJ36" s="80" t="e">
        <f t="shared" ca="1" si="11"/>
        <v>#N/A</v>
      </c>
    </row>
    <row r="37" spans="2:36">
      <c r="B37" s="38">
        <v>18</v>
      </c>
      <c r="C37" s="77" t="e">
        <f t="shared" ca="1" si="12"/>
        <v>#N/A</v>
      </c>
      <c r="D37" s="78" t="e">
        <f ca="1">+IF(AND(B37&lt;$G$7),VLOOKUP($B$1,Inventory!$A$1:$BC$500,35,FALSE),IF(AND(B37=$G$7,pmt_timing="End"),VLOOKUP($B$1,Inventory!$A$1:$BC$500,35,FALSE),0))</f>
        <v>#N/A</v>
      </c>
      <c r="E37" s="78">
        <v>0</v>
      </c>
      <c r="F37" s="78">
        <v>0</v>
      </c>
      <c r="G37" s="78">
        <v>0</v>
      </c>
      <c r="H37" s="78">
        <v>0</v>
      </c>
      <c r="I37" s="78">
        <v>0</v>
      </c>
      <c r="J37" s="78">
        <v>0</v>
      </c>
      <c r="K37" s="78">
        <v>0</v>
      </c>
      <c r="L37" s="36" t="e">
        <f t="shared" ca="1" si="2"/>
        <v>#N/A</v>
      </c>
      <c r="M37" s="37" t="e">
        <f t="shared" ca="1" si="0"/>
        <v>#N/A</v>
      </c>
      <c r="N37" s="37" t="e">
        <f t="shared" ca="1" si="1"/>
        <v>#N/A</v>
      </c>
      <c r="P37" s="35" t="e">
        <f t="shared" ca="1" si="17"/>
        <v>#N/A</v>
      </c>
      <c r="Q37" s="59" t="e">
        <f t="shared" ca="1" si="3"/>
        <v>#N/A</v>
      </c>
      <c r="R37" s="44" t="e">
        <f t="shared" ca="1" si="13"/>
        <v>#N/A</v>
      </c>
      <c r="S37" s="37" t="e">
        <f ca="1">IF(P37="","",IF(P37="Total",SUM($S$19:S36),VLOOKUP($P37,$B$12:$L91,11,FALSE)))</f>
        <v>#N/A</v>
      </c>
      <c r="T37" s="44" t="e">
        <f ca="1">IF(payfreq="Annually",IF(P37="","",IF(P37="Total",SUM($T$19:T36),Adj_Rate*$R37)),IF(payfreq="Semiannually",IF(P37="","",IF(P37="Total",SUM($T$19:T36),Adj_Rate/2*$R37)),IF(payfreq="Quarterly",IF(P37="","",IF(P37="Total",SUM($T$19:T36),Adj_Rate/4*$R37)),IF(payfreq="Monthly",IF(P37="","",IF(P37="Total",SUM($T$19:T36),Adj_Rate/12*$R37)),""))))</f>
        <v>#N/A</v>
      </c>
      <c r="U37" s="37" t="e">
        <f t="shared" ca="1" si="14"/>
        <v>#N/A</v>
      </c>
      <c r="V37" s="44" t="e">
        <f t="shared" ca="1" si="15"/>
        <v>#N/A</v>
      </c>
      <c r="Z37" s="14">
        <f t="shared" si="20"/>
        <v>68850</v>
      </c>
      <c r="AA37" s="14">
        <f t="shared" si="20"/>
        <v>70675</v>
      </c>
      <c r="AB37">
        <f t="shared" si="5"/>
        <v>2093</v>
      </c>
      <c r="AC37" s="80" t="e">
        <f t="shared" ca="1" si="6"/>
        <v>#N/A</v>
      </c>
      <c r="AD37" s="80" t="e">
        <f t="shared" ca="1" si="7"/>
        <v>#N/A</v>
      </c>
      <c r="AF37" s="14">
        <f t="shared" si="22"/>
        <v>68850</v>
      </c>
      <c r="AG37" s="14">
        <f t="shared" si="21"/>
        <v>70675</v>
      </c>
      <c r="AH37">
        <f t="shared" si="9"/>
        <v>2093</v>
      </c>
      <c r="AI37" s="80" t="e">
        <f t="shared" ca="1" si="10"/>
        <v>#N/A</v>
      </c>
      <c r="AJ37" s="80" t="e">
        <f t="shared" ca="1" si="11"/>
        <v>#N/A</v>
      </c>
    </row>
    <row r="38" spans="2:36">
      <c r="B38" s="38">
        <v>19</v>
      </c>
      <c r="C38" s="77" t="e">
        <f t="shared" ca="1" si="12"/>
        <v>#N/A</v>
      </c>
      <c r="D38" s="78" t="e">
        <f ca="1">+IF(AND(B38&lt;$G$7),VLOOKUP($B$1,Inventory!$A$1:$BC$500,35,FALSE),IF(AND(B38=$G$7,pmt_timing="End"),VLOOKUP($B$1,Inventory!$A$1:$BC$500,35,FALSE),0))</f>
        <v>#N/A</v>
      </c>
      <c r="E38" s="78">
        <v>0</v>
      </c>
      <c r="F38" s="78">
        <v>0</v>
      </c>
      <c r="G38" s="78">
        <v>0</v>
      </c>
      <c r="H38" s="78">
        <v>0</v>
      </c>
      <c r="I38" s="78">
        <v>0</v>
      </c>
      <c r="J38" s="78">
        <v>0</v>
      </c>
      <c r="K38" s="78">
        <v>0</v>
      </c>
      <c r="L38" s="36" t="e">
        <f t="shared" ca="1" si="2"/>
        <v>#N/A</v>
      </c>
      <c r="M38" s="37" t="e">
        <f t="shared" ca="1" si="0"/>
        <v>#N/A</v>
      </c>
      <c r="N38" s="37" t="e">
        <f t="shared" ca="1" si="1"/>
        <v>#N/A</v>
      </c>
      <c r="P38" s="35" t="e">
        <f t="shared" ca="1" si="17"/>
        <v>#N/A</v>
      </c>
      <c r="Q38" s="59" t="e">
        <f t="shared" ca="1" si="3"/>
        <v>#N/A</v>
      </c>
      <c r="R38" s="44" t="e">
        <f t="shared" ca="1" si="13"/>
        <v>#N/A</v>
      </c>
      <c r="S38" s="37" t="e">
        <f ca="1">IF(P38="","",IF(P38="Total",SUM($S$19:S37),VLOOKUP($P38,$B$12:$L92,11,FALSE)))</f>
        <v>#N/A</v>
      </c>
      <c r="T38" s="44" t="e">
        <f ca="1">IF(payfreq="Annually",IF(P38="","",IF(P38="Total",SUM($T$19:T37),Adj_Rate*$R38)),IF(payfreq="Semiannually",IF(P38="","",IF(P38="Total",SUM($T$19:T37),Adj_Rate/2*$R38)),IF(payfreq="Quarterly",IF(P38="","",IF(P38="Total",SUM($T$19:T37),Adj_Rate/4*$R38)),IF(payfreq="Monthly",IF(P38="","",IF(P38="Total",SUM($T$19:T37),Adj_Rate/12*$R38)),""))))</f>
        <v>#N/A</v>
      </c>
      <c r="U38" s="37" t="e">
        <f t="shared" ca="1" si="14"/>
        <v>#N/A</v>
      </c>
      <c r="V38" s="44" t="e">
        <f t="shared" ca="1" si="15"/>
        <v>#N/A</v>
      </c>
      <c r="Z38" s="14">
        <f t="shared" si="20"/>
        <v>70676</v>
      </c>
      <c r="AA38" s="14">
        <f t="shared" si="20"/>
        <v>72501</v>
      </c>
      <c r="AB38">
        <f t="shared" si="5"/>
        <v>2098</v>
      </c>
      <c r="AC38" s="80" t="e">
        <f t="shared" ca="1" si="6"/>
        <v>#N/A</v>
      </c>
      <c r="AD38" s="80" t="e">
        <f t="shared" ca="1" si="7"/>
        <v>#N/A</v>
      </c>
      <c r="AF38" s="14">
        <f t="shared" si="22"/>
        <v>70676</v>
      </c>
      <c r="AG38" s="14">
        <f t="shared" si="21"/>
        <v>72501</v>
      </c>
      <c r="AH38">
        <f t="shared" si="9"/>
        <v>2098</v>
      </c>
      <c r="AI38" s="80" t="e">
        <f t="shared" ca="1" si="10"/>
        <v>#N/A</v>
      </c>
      <c r="AJ38" s="80" t="e">
        <f t="shared" ca="1" si="11"/>
        <v>#N/A</v>
      </c>
    </row>
    <row r="39" spans="2:36">
      <c r="B39" s="38">
        <v>20</v>
      </c>
      <c r="C39" s="77" t="e">
        <f t="shared" ca="1" si="12"/>
        <v>#N/A</v>
      </c>
      <c r="D39" s="78" t="e">
        <f ca="1">+IF(AND(B39&lt;$G$7),VLOOKUP($B$1,Inventory!$A$1:$BC$500,35,FALSE),IF(AND(B39=$G$7,pmt_timing="End"),VLOOKUP($B$1,Inventory!$A$1:$BC$500,35,FALSE),0))</f>
        <v>#N/A</v>
      </c>
      <c r="E39" s="78">
        <v>0</v>
      </c>
      <c r="F39" s="78">
        <v>0</v>
      </c>
      <c r="G39" s="78">
        <v>0</v>
      </c>
      <c r="H39" s="78">
        <v>0</v>
      </c>
      <c r="I39" s="78">
        <v>0</v>
      </c>
      <c r="J39" s="78">
        <v>0</v>
      </c>
      <c r="K39" s="78">
        <v>0</v>
      </c>
      <c r="L39" s="36" t="e">
        <f t="shared" ca="1" si="2"/>
        <v>#N/A</v>
      </c>
      <c r="M39" s="37" t="e">
        <f t="shared" ca="1" si="0"/>
        <v>#N/A</v>
      </c>
      <c r="N39" s="37" t="e">
        <f t="shared" ca="1" si="1"/>
        <v>#N/A</v>
      </c>
      <c r="P39" s="35" t="e">
        <f t="shared" ca="1" si="17"/>
        <v>#N/A</v>
      </c>
      <c r="Q39" s="59" t="e">
        <f t="shared" ca="1" si="3"/>
        <v>#N/A</v>
      </c>
      <c r="R39" s="44" t="e">
        <f t="shared" ca="1" si="13"/>
        <v>#N/A</v>
      </c>
      <c r="S39" s="37" t="e">
        <f ca="1">IF(P39="","",IF(P39="Total",SUM($S$19:S38),VLOOKUP($P39,$B$12:$L93,11,FALSE)))</f>
        <v>#N/A</v>
      </c>
      <c r="T39" s="44" t="e">
        <f ca="1">IF(payfreq="Annually",IF(P39="","",IF(P39="Total",SUM($T$19:T38),Adj_Rate*$R39)),IF(payfreq="Semiannually",IF(P39="","",IF(P39="Total",SUM($T$19:T38),Adj_Rate/2*$R39)),IF(payfreq="Quarterly",IF(P39="","",IF(P39="Total",SUM($T$19:T38),Adj_Rate/4*$R39)),IF(payfreq="Monthly",IF(P39="","",IF(P39="Total",SUM($T$19:T38),Adj_Rate/12*$R39)),""))))</f>
        <v>#N/A</v>
      </c>
      <c r="U39" s="37" t="e">
        <f t="shared" ca="1" si="14"/>
        <v>#N/A</v>
      </c>
      <c r="V39" s="44" t="e">
        <f t="shared" ca="1" si="15"/>
        <v>#N/A</v>
      </c>
      <c r="Z39" s="14">
        <f t="shared" si="20"/>
        <v>72502</v>
      </c>
      <c r="AA39" s="14">
        <f t="shared" si="20"/>
        <v>74326</v>
      </c>
      <c r="AB39">
        <f t="shared" si="5"/>
        <v>2103</v>
      </c>
      <c r="AC39" s="80" t="e">
        <f t="shared" ca="1" si="6"/>
        <v>#N/A</v>
      </c>
      <c r="AD39" s="80" t="e">
        <f t="shared" ca="1" si="7"/>
        <v>#N/A</v>
      </c>
      <c r="AF39" s="14">
        <f t="shared" si="22"/>
        <v>72502</v>
      </c>
      <c r="AG39" s="14">
        <f t="shared" si="21"/>
        <v>74326</v>
      </c>
      <c r="AH39">
        <f t="shared" si="9"/>
        <v>2103</v>
      </c>
      <c r="AI39" s="80" t="e">
        <f t="shared" ca="1" si="10"/>
        <v>#N/A</v>
      </c>
      <c r="AJ39" s="80" t="e">
        <f t="shared" ca="1" si="11"/>
        <v>#N/A</v>
      </c>
    </row>
    <row r="40" spans="2:36">
      <c r="B40" s="38">
        <v>21</v>
      </c>
      <c r="C40" s="77" t="e">
        <f t="shared" ca="1" si="12"/>
        <v>#N/A</v>
      </c>
      <c r="D40" s="78" t="e">
        <f ca="1">+IF(AND(B40&lt;$G$7),VLOOKUP($B$1,Inventory!$A$1:$BC$500,35,FALSE),IF(AND(B40=$G$7,pmt_timing="End"),VLOOKUP($B$1,Inventory!$A$1:$BC$500,35,FALSE),0))</f>
        <v>#N/A</v>
      </c>
      <c r="E40" s="78">
        <v>0</v>
      </c>
      <c r="F40" s="78">
        <v>0</v>
      </c>
      <c r="G40" s="78">
        <v>0</v>
      </c>
      <c r="H40" s="78">
        <v>0</v>
      </c>
      <c r="I40" s="78">
        <v>0</v>
      </c>
      <c r="J40" s="78">
        <v>0</v>
      </c>
      <c r="K40" s="78">
        <v>0</v>
      </c>
      <c r="L40" s="36" t="e">
        <f t="shared" ca="1" si="2"/>
        <v>#N/A</v>
      </c>
      <c r="M40" s="37" t="e">
        <f t="shared" ca="1" si="0"/>
        <v>#N/A</v>
      </c>
      <c r="N40" s="37" t="e">
        <f t="shared" ca="1" si="1"/>
        <v>#N/A</v>
      </c>
      <c r="P40" s="35" t="e">
        <f t="shared" ca="1" si="17"/>
        <v>#N/A</v>
      </c>
      <c r="Q40" s="59" t="e">
        <f t="shared" ca="1" si="3"/>
        <v>#N/A</v>
      </c>
      <c r="R40" s="44" t="e">
        <f t="shared" ca="1" si="13"/>
        <v>#N/A</v>
      </c>
      <c r="S40" s="37" t="e">
        <f ca="1">IF(P40="","",IF(P40="Total",SUM($S$19:S39),VLOOKUP($P40,$B$12:$L94,11,FALSE)))</f>
        <v>#N/A</v>
      </c>
      <c r="T40" s="44" t="e">
        <f ca="1">IF(payfreq="Annually",IF(P40="","",IF(P40="Total",SUM($T$19:T39),Adj_Rate*$R40)),IF(payfreq="Semiannually",IF(P40="","",IF(P40="Total",SUM($T$19:T39),Adj_Rate/2*$R40)),IF(payfreq="Quarterly",IF(P40="","",IF(P40="Total",SUM($T$19:T39),Adj_Rate/4*$R40)),IF(payfreq="Monthly",IF(P40="","",IF(P40="Total",SUM($T$19:T39),Adj_Rate/12*$R40)),""))))</f>
        <v>#N/A</v>
      </c>
      <c r="U40" s="37" t="e">
        <f t="shared" ca="1" si="14"/>
        <v>#N/A</v>
      </c>
      <c r="V40" s="44" t="e">
        <f t="shared" ca="1" si="15"/>
        <v>#N/A</v>
      </c>
      <c r="Z40" s="14">
        <f t="shared" si="20"/>
        <v>74327</v>
      </c>
      <c r="AA40" s="14">
        <f t="shared" si="20"/>
        <v>76153</v>
      </c>
      <c r="AB40">
        <f t="shared" si="5"/>
        <v>2108</v>
      </c>
      <c r="AC40" s="80" t="e">
        <f t="shared" ca="1" si="6"/>
        <v>#N/A</v>
      </c>
      <c r="AD40" s="80" t="e">
        <f t="shared" ca="1" si="7"/>
        <v>#N/A</v>
      </c>
      <c r="AF40" s="14">
        <f t="shared" si="22"/>
        <v>74327</v>
      </c>
      <c r="AG40" s="14">
        <f t="shared" si="21"/>
        <v>76153</v>
      </c>
      <c r="AH40">
        <f t="shared" si="9"/>
        <v>2108</v>
      </c>
      <c r="AI40" s="80" t="e">
        <f t="shared" ca="1" si="10"/>
        <v>#N/A</v>
      </c>
      <c r="AJ40" s="80" t="e">
        <f t="shared" ca="1" si="11"/>
        <v>#N/A</v>
      </c>
    </row>
    <row r="41" spans="2:36">
      <c r="B41" s="38">
        <v>22</v>
      </c>
      <c r="C41" s="77" t="e">
        <f t="shared" ca="1" si="12"/>
        <v>#N/A</v>
      </c>
      <c r="D41" s="78" t="e">
        <f ca="1">+IF(AND(B41&lt;$G$7),VLOOKUP($B$1,Inventory!$A$1:$BC$500,35,FALSE),IF(AND(B41=$G$7,pmt_timing="End"),VLOOKUP($B$1,Inventory!$A$1:$BC$500,35,FALSE),0))</f>
        <v>#N/A</v>
      </c>
      <c r="E41" s="78">
        <v>0</v>
      </c>
      <c r="F41" s="78">
        <v>0</v>
      </c>
      <c r="G41" s="78">
        <v>0</v>
      </c>
      <c r="H41" s="78">
        <v>0</v>
      </c>
      <c r="I41" s="78">
        <v>0</v>
      </c>
      <c r="J41" s="78">
        <v>0</v>
      </c>
      <c r="K41" s="78">
        <v>0</v>
      </c>
      <c r="L41" s="36" t="e">
        <f t="shared" ca="1" si="2"/>
        <v>#N/A</v>
      </c>
      <c r="M41" s="37" t="e">
        <f t="shared" ca="1" si="0"/>
        <v>#N/A</v>
      </c>
      <c r="N41" s="37" t="e">
        <f t="shared" ca="1" si="1"/>
        <v>#N/A</v>
      </c>
      <c r="P41" s="35" t="e">
        <f t="shared" ca="1" si="17"/>
        <v>#N/A</v>
      </c>
      <c r="Q41" s="59" t="e">
        <f t="shared" ca="1" si="3"/>
        <v>#N/A</v>
      </c>
      <c r="R41" s="44" t="e">
        <f t="shared" ca="1" si="13"/>
        <v>#N/A</v>
      </c>
      <c r="S41" s="37" t="e">
        <f ca="1">IF(P41="","",IF(P41="Total",SUM($S$19:S40),VLOOKUP($P41,$B$12:$L95,11,FALSE)))</f>
        <v>#N/A</v>
      </c>
      <c r="T41" s="44" t="e">
        <f ca="1">IF(payfreq="Annually",IF(P41="","",IF(P41="Total",SUM($T$19:T40),Adj_Rate*$R41)),IF(payfreq="Semiannually",IF(P41="","",IF(P41="Total",SUM($T$19:T40),Adj_Rate/2*$R41)),IF(payfreq="Quarterly",IF(P41="","",IF(P41="Total",SUM($T$19:T40),Adj_Rate/4*$R41)),IF(payfreq="Monthly",IF(P41="","",IF(P41="Total",SUM($T$19:T40),Adj_Rate/12*$R41)),""))))</f>
        <v>#N/A</v>
      </c>
      <c r="U41" s="37" t="e">
        <f t="shared" ca="1" si="14"/>
        <v>#N/A</v>
      </c>
      <c r="V41" s="44" t="e">
        <f t="shared" ca="1" si="15"/>
        <v>#N/A</v>
      </c>
      <c r="Z41" s="14">
        <f t="shared" ref="Z41:AA42" si="23">DATE(YEAR(Z40)+5,MONTH(Z40),DAY(Z40))</f>
        <v>76154</v>
      </c>
      <c r="AA41" s="14">
        <f t="shared" si="23"/>
        <v>77979</v>
      </c>
      <c r="AB41">
        <f t="shared" si="5"/>
        <v>2113</v>
      </c>
      <c r="AC41" s="80" t="e">
        <f t="shared" ca="1" si="6"/>
        <v>#N/A</v>
      </c>
      <c r="AD41" s="80" t="e">
        <f t="shared" ca="1" si="7"/>
        <v>#N/A</v>
      </c>
      <c r="AF41" s="14">
        <f t="shared" si="22"/>
        <v>76154</v>
      </c>
      <c r="AG41" s="14">
        <f t="shared" si="21"/>
        <v>77979</v>
      </c>
      <c r="AH41">
        <f t="shared" si="9"/>
        <v>2113</v>
      </c>
      <c r="AI41" s="80" t="e">
        <f t="shared" ca="1" si="10"/>
        <v>#N/A</v>
      </c>
      <c r="AJ41" s="80" t="e">
        <f t="shared" ca="1" si="11"/>
        <v>#N/A</v>
      </c>
    </row>
    <row r="42" spans="2:36">
      <c r="B42" s="38">
        <v>23</v>
      </c>
      <c r="C42" s="77" t="e">
        <f t="shared" ca="1" si="12"/>
        <v>#N/A</v>
      </c>
      <c r="D42" s="78" t="e">
        <f ca="1">+IF(AND(B42&lt;$G$7),VLOOKUP($B$1,Inventory!$A$1:$BC$500,35,FALSE),IF(AND(B42=$G$7,pmt_timing="End"),VLOOKUP($B$1,Inventory!$A$1:$BC$500,35,FALSE),0))</f>
        <v>#N/A</v>
      </c>
      <c r="E42" s="78">
        <v>0</v>
      </c>
      <c r="F42" s="78">
        <v>0</v>
      </c>
      <c r="G42" s="78">
        <v>0</v>
      </c>
      <c r="H42" s="78">
        <v>0</v>
      </c>
      <c r="I42" s="78">
        <v>0</v>
      </c>
      <c r="J42" s="78">
        <v>0</v>
      </c>
      <c r="K42" s="78">
        <v>0</v>
      </c>
      <c r="L42" s="36" t="e">
        <f t="shared" ca="1" si="2"/>
        <v>#N/A</v>
      </c>
      <c r="M42" s="37" t="e">
        <f t="shared" ca="1" si="0"/>
        <v>#N/A</v>
      </c>
      <c r="N42" s="37" t="e">
        <f t="shared" ca="1" si="1"/>
        <v>#N/A</v>
      </c>
      <c r="P42" s="35" t="e">
        <f t="shared" ca="1" si="17"/>
        <v>#N/A</v>
      </c>
      <c r="Q42" s="59" t="e">
        <f t="shared" ca="1" si="3"/>
        <v>#N/A</v>
      </c>
      <c r="R42" s="44" t="e">
        <f t="shared" ca="1" si="13"/>
        <v>#N/A</v>
      </c>
      <c r="S42" s="37" t="e">
        <f ca="1">IF(P42="","",IF(P42="Total",SUM($S$19:S41),VLOOKUP($P42,$B$12:$L96,11,FALSE)))</f>
        <v>#N/A</v>
      </c>
      <c r="T42" s="44" t="e">
        <f ca="1">IF(payfreq="Annually",IF(P42="","",IF(P42="Total",SUM($T$19:T41),Adj_Rate*$R42)),IF(payfreq="Semiannually",IF(P42="","",IF(P42="Total",SUM($T$19:T41),Adj_Rate/2*$R42)),IF(payfreq="Quarterly",IF(P42="","",IF(P42="Total",SUM($T$19:T41),Adj_Rate/4*$R42)),IF(payfreq="Monthly",IF(P42="","",IF(P42="Total",SUM($T$19:T41),Adj_Rate/12*$R42)),""))))</f>
        <v>#N/A</v>
      </c>
      <c r="U42" s="37" t="e">
        <f t="shared" ca="1" si="14"/>
        <v>#N/A</v>
      </c>
      <c r="V42" s="44" t="e">
        <f t="shared" ca="1" si="15"/>
        <v>#N/A</v>
      </c>
      <c r="Z42" s="14">
        <f t="shared" si="23"/>
        <v>77980</v>
      </c>
      <c r="AA42" s="14">
        <f t="shared" si="23"/>
        <v>79805</v>
      </c>
      <c r="AB42">
        <f t="shared" si="5"/>
        <v>2118</v>
      </c>
      <c r="AC42" s="80" t="e">
        <f t="shared" ca="1" si="6"/>
        <v>#N/A</v>
      </c>
      <c r="AD42" s="80" t="e">
        <f t="shared" ca="1" si="7"/>
        <v>#N/A</v>
      </c>
      <c r="AF42" s="14">
        <f t="shared" si="22"/>
        <v>77980</v>
      </c>
      <c r="AG42" s="14">
        <f t="shared" si="21"/>
        <v>79805</v>
      </c>
      <c r="AH42">
        <f t="shared" si="9"/>
        <v>2118</v>
      </c>
      <c r="AI42" s="80" t="e">
        <f t="shared" ca="1" si="10"/>
        <v>#N/A</v>
      </c>
      <c r="AJ42" s="80" t="e">
        <f t="shared" ca="1" si="11"/>
        <v>#N/A</v>
      </c>
    </row>
    <row r="43" spans="2:36">
      <c r="B43" s="38">
        <v>24</v>
      </c>
      <c r="C43" s="77" t="e">
        <f t="shared" ca="1" si="12"/>
        <v>#N/A</v>
      </c>
      <c r="D43" s="78" t="e">
        <f ca="1">+IF(AND(B43&lt;$G$7),VLOOKUP($B$1,Inventory!$A$1:$BC$500,35,FALSE),IF(AND(B43=$G$7,pmt_timing="End"),VLOOKUP($B$1,Inventory!$A$1:$BC$500,35,FALSE),0))</f>
        <v>#N/A</v>
      </c>
      <c r="E43" s="78">
        <v>0</v>
      </c>
      <c r="F43" s="78">
        <v>0</v>
      </c>
      <c r="G43" s="78">
        <v>0</v>
      </c>
      <c r="H43" s="78">
        <v>0</v>
      </c>
      <c r="I43" s="78">
        <v>0</v>
      </c>
      <c r="J43" s="78">
        <v>0</v>
      </c>
      <c r="K43" s="78">
        <v>0</v>
      </c>
      <c r="L43" s="36" t="e">
        <f t="shared" ca="1" si="2"/>
        <v>#N/A</v>
      </c>
      <c r="M43" s="37" t="e">
        <f t="shared" ca="1" si="0"/>
        <v>#N/A</v>
      </c>
      <c r="N43" s="37" t="e">
        <f t="shared" ca="1" si="1"/>
        <v>#N/A</v>
      </c>
      <c r="P43" s="35" t="e">
        <f t="shared" ca="1" si="17"/>
        <v>#N/A</v>
      </c>
      <c r="Q43" s="59" t="e">
        <f t="shared" ca="1" si="3"/>
        <v>#N/A</v>
      </c>
      <c r="R43" s="44" t="e">
        <f t="shared" ca="1" si="13"/>
        <v>#N/A</v>
      </c>
      <c r="S43" s="37" t="e">
        <f ca="1">IF(P43="","",IF(P43="Total",SUM($S$19:S42),VLOOKUP($P43,$B$12:$L97,11,FALSE)))</f>
        <v>#N/A</v>
      </c>
      <c r="T43" s="44" t="e">
        <f ca="1">IF(payfreq="Annually",IF(P43="","",IF(P43="Total",SUM($T$19:T42),Adj_Rate*$R43)),IF(payfreq="Semiannually",IF(P43="","",IF(P43="Total",SUM($T$19:T42),Adj_Rate/2*$R43)),IF(payfreq="Quarterly",IF(P43="","",IF(P43="Total",SUM($T$19:T42),Adj_Rate/4*$R43)),IF(payfreq="Monthly",IF(P43="","",IF(P43="Total",SUM($T$19:T42),Adj_Rate/12*$R43)),""))))</f>
        <v>#N/A</v>
      </c>
      <c r="U43" s="37" t="e">
        <f t="shared" ca="1" si="14"/>
        <v>#N/A</v>
      </c>
      <c r="V43" s="44" t="e">
        <f t="shared" ca="1" si="15"/>
        <v>#N/A</v>
      </c>
      <c r="Z43" s="14">
        <f t="shared" ref="Z43" si="24">DATE(YEAR(Z42)+5,MONTH(Z42),DAY(Z42))</f>
        <v>79806</v>
      </c>
      <c r="AA43" s="14">
        <f t="shared" ref="AA43" si="25">DATE(YEAR(AA42)+5,MONTH(AA42),DAY(AA42))</f>
        <v>81631</v>
      </c>
      <c r="AB43">
        <f t="shared" ref="AB43:AB47" si="26">+YEAR(AA43)</f>
        <v>2123</v>
      </c>
      <c r="AC43" s="80" t="e">
        <f t="shared" ca="1" si="6"/>
        <v>#N/A</v>
      </c>
      <c r="AD43" s="80" t="e">
        <f t="shared" ca="1" si="7"/>
        <v>#N/A</v>
      </c>
      <c r="AF43" s="14">
        <f t="shared" si="22"/>
        <v>79806</v>
      </c>
      <c r="AG43" s="14">
        <f t="shared" si="21"/>
        <v>81631</v>
      </c>
      <c r="AH43">
        <f t="shared" si="9"/>
        <v>2123</v>
      </c>
      <c r="AI43" s="80" t="e">
        <f t="shared" ca="1" si="10"/>
        <v>#N/A</v>
      </c>
      <c r="AJ43" s="80" t="e">
        <f t="shared" ca="1" si="11"/>
        <v>#N/A</v>
      </c>
    </row>
    <row r="44" spans="2:36">
      <c r="B44" s="38">
        <v>25</v>
      </c>
      <c r="C44" s="77" t="e">
        <f t="shared" ca="1" si="12"/>
        <v>#N/A</v>
      </c>
      <c r="D44" s="78" t="e">
        <f ca="1">+IF(AND(B44&lt;$G$7),VLOOKUP($B$1,Inventory!$A$1:$BC$500,35,FALSE),IF(AND(B44=$G$7,pmt_timing="End"),VLOOKUP($B$1,Inventory!$A$1:$BC$500,35,FALSE),0))</f>
        <v>#N/A</v>
      </c>
      <c r="E44" s="78">
        <v>0</v>
      </c>
      <c r="F44" s="78">
        <v>0</v>
      </c>
      <c r="G44" s="78">
        <v>0</v>
      </c>
      <c r="H44" s="78">
        <v>0</v>
      </c>
      <c r="I44" s="78">
        <v>0</v>
      </c>
      <c r="J44" s="78">
        <v>0</v>
      </c>
      <c r="K44" s="78">
        <v>0</v>
      </c>
      <c r="L44" s="36" t="e">
        <f t="shared" ca="1" si="2"/>
        <v>#N/A</v>
      </c>
      <c r="M44" s="37" t="e">
        <f t="shared" ca="1" si="0"/>
        <v>#N/A</v>
      </c>
      <c r="N44" s="37" t="e">
        <f t="shared" ca="1" si="1"/>
        <v>#N/A</v>
      </c>
      <c r="P44" s="35" t="e">
        <f t="shared" ca="1" si="17"/>
        <v>#N/A</v>
      </c>
      <c r="Q44" s="59" t="e">
        <f t="shared" ca="1" si="3"/>
        <v>#N/A</v>
      </c>
      <c r="R44" s="44" t="e">
        <f t="shared" ca="1" si="13"/>
        <v>#N/A</v>
      </c>
      <c r="S44" s="37" t="e">
        <f ca="1">IF(P44="","",IF(P44="Total",SUM($S$19:S43),VLOOKUP($P44,$B$12:$L98,11,FALSE)))</f>
        <v>#N/A</v>
      </c>
      <c r="T44" s="44" t="e">
        <f ca="1">IF(payfreq="Annually",IF(P44="","",IF(P44="Total",SUM($T$19:T43),Adj_Rate*$R44)),IF(payfreq="Semiannually",IF(P44="","",IF(P44="Total",SUM($T$19:T43),Adj_Rate/2*$R44)),IF(payfreq="Quarterly",IF(P44="","",IF(P44="Total",SUM($T$19:T43),Adj_Rate/4*$R44)),IF(payfreq="Monthly",IF(P44="","",IF(P44="Total",SUM($T$19:T43),Adj_Rate/12*$R44)),""))))</f>
        <v>#N/A</v>
      </c>
      <c r="U44" s="37" t="e">
        <f t="shared" ca="1" si="14"/>
        <v>#N/A</v>
      </c>
      <c r="V44" s="44" t="e">
        <f t="shared" ca="1" si="15"/>
        <v>#N/A</v>
      </c>
      <c r="Z44" s="14">
        <f t="shared" ref="Z44" si="27">DATE(YEAR(Z43)+5,MONTH(Z43),DAY(Z43))</f>
        <v>81632</v>
      </c>
      <c r="AA44" s="14">
        <f t="shared" ref="AA44" si="28">DATE(YEAR(AA43)+5,MONTH(AA43),DAY(AA43))</f>
        <v>83458</v>
      </c>
      <c r="AB44">
        <f t="shared" si="26"/>
        <v>2128</v>
      </c>
      <c r="AC44" s="80" t="e">
        <f t="shared" ca="1" si="6"/>
        <v>#N/A</v>
      </c>
      <c r="AD44" s="80" t="e">
        <f t="shared" ca="1" si="7"/>
        <v>#N/A</v>
      </c>
      <c r="AF44" s="14">
        <f t="shared" si="22"/>
        <v>81632</v>
      </c>
      <c r="AG44" s="14">
        <f t="shared" si="21"/>
        <v>83458</v>
      </c>
      <c r="AH44">
        <f t="shared" si="9"/>
        <v>2128</v>
      </c>
      <c r="AI44" s="80" t="e">
        <f t="shared" ca="1" si="10"/>
        <v>#N/A</v>
      </c>
      <c r="AJ44" s="80" t="e">
        <f t="shared" ca="1" si="11"/>
        <v>#N/A</v>
      </c>
    </row>
    <row r="45" spans="2:36">
      <c r="B45" s="38">
        <v>26</v>
      </c>
      <c r="C45" s="77" t="e">
        <f t="shared" ca="1" si="12"/>
        <v>#N/A</v>
      </c>
      <c r="D45" s="78" t="e">
        <f ca="1">+IF(AND(B45&lt;$G$7),VLOOKUP($B$1,Inventory!$A$1:$BC$500,35,FALSE),IF(AND(B45=$G$7,pmt_timing="End"),VLOOKUP($B$1,Inventory!$A$1:$BC$500,35,FALSE),0))</f>
        <v>#N/A</v>
      </c>
      <c r="E45" s="78">
        <v>0</v>
      </c>
      <c r="F45" s="78">
        <v>0</v>
      </c>
      <c r="G45" s="78">
        <v>0</v>
      </c>
      <c r="H45" s="78">
        <v>0</v>
      </c>
      <c r="I45" s="78">
        <v>0</v>
      </c>
      <c r="J45" s="78">
        <v>0</v>
      </c>
      <c r="K45" s="78">
        <v>0</v>
      </c>
      <c r="L45" s="36" t="e">
        <f t="shared" ca="1" si="2"/>
        <v>#N/A</v>
      </c>
      <c r="M45" s="37" t="e">
        <f t="shared" ca="1" si="0"/>
        <v>#N/A</v>
      </c>
      <c r="N45" s="37" t="e">
        <f t="shared" ca="1" si="1"/>
        <v>#N/A</v>
      </c>
      <c r="P45" s="35" t="e">
        <f t="shared" ca="1" si="17"/>
        <v>#N/A</v>
      </c>
      <c r="Q45" s="59" t="e">
        <f t="shared" ca="1" si="3"/>
        <v>#N/A</v>
      </c>
      <c r="R45" s="44" t="e">
        <f t="shared" ca="1" si="13"/>
        <v>#N/A</v>
      </c>
      <c r="S45" s="37" t="e">
        <f ca="1">IF(P45="","",IF(P45="Total",SUM($S$19:S44),VLOOKUP($P45,$B$12:$L99,11,FALSE)))</f>
        <v>#N/A</v>
      </c>
      <c r="T45" s="44" t="e">
        <f ca="1">IF(payfreq="Annually",IF(P45="","",IF(P45="Total",SUM($T$19:T44),Adj_Rate*$R45)),IF(payfreq="Semiannually",IF(P45="","",IF(P45="Total",SUM($T$19:T44),Adj_Rate/2*$R45)),IF(payfreq="Quarterly",IF(P45="","",IF(P45="Total",SUM($T$19:T44),Adj_Rate/4*$R45)),IF(payfreq="Monthly",IF(P45="","",IF(P45="Total",SUM($T$19:T44),Adj_Rate/12*$R45)),""))))</f>
        <v>#N/A</v>
      </c>
      <c r="U45" s="37" t="e">
        <f t="shared" ca="1" si="14"/>
        <v>#N/A</v>
      </c>
      <c r="V45" s="44" t="e">
        <f t="shared" ca="1" si="15"/>
        <v>#N/A</v>
      </c>
      <c r="Z45" s="14">
        <f t="shared" ref="Z45" si="29">DATE(YEAR(Z44)+5,MONTH(Z44),DAY(Z44))</f>
        <v>83459</v>
      </c>
      <c r="AA45" s="14">
        <f t="shared" ref="AA45" si="30">DATE(YEAR(AA44)+5,MONTH(AA44),DAY(AA44))</f>
        <v>85284</v>
      </c>
      <c r="AB45">
        <f t="shared" si="26"/>
        <v>2133</v>
      </c>
      <c r="AC45" s="80" t="e">
        <f t="shared" ca="1" si="6"/>
        <v>#N/A</v>
      </c>
      <c r="AD45" s="80" t="e">
        <f t="shared" ca="1" si="7"/>
        <v>#N/A</v>
      </c>
      <c r="AF45" s="14">
        <f t="shared" si="22"/>
        <v>83459</v>
      </c>
      <c r="AG45" s="14">
        <f t="shared" si="21"/>
        <v>85284</v>
      </c>
      <c r="AH45">
        <f t="shared" si="9"/>
        <v>2133</v>
      </c>
      <c r="AI45" s="80" t="e">
        <f t="shared" ca="1" si="10"/>
        <v>#N/A</v>
      </c>
      <c r="AJ45" s="80" t="e">
        <f t="shared" ca="1" si="11"/>
        <v>#N/A</v>
      </c>
    </row>
    <row r="46" spans="2:36">
      <c r="B46" s="38">
        <v>27</v>
      </c>
      <c r="C46" s="77" t="e">
        <f t="shared" ca="1" si="12"/>
        <v>#N/A</v>
      </c>
      <c r="D46" s="78" t="e">
        <f ca="1">+IF(AND(B46&lt;$G$7),VLOOKUP($B$1,Inventory!$A$1:$BC$500,35,FALSE),IF(AND(B46=$G$7,pmt_timing="End"),VLOOKUP($B$1,Inventory!$A$1:$BC$500,35,FALSE),0))</f>
        <v>#N/A</v>
      </c>
      <c r="E46" s="78">
        <v>0</v>
      </c>
      <c r="F46" s="78">
        <v>0</v>
      </c>
      <c r="G46" s="78">
        <v>0</v>
      </c>
      <c r="H46" s="78">
        <v>0</v>
      </c>
      <c r="I46" s="78">
        <v>0</v>
      </c>
      <c r="J46" s="78">
        <v>0</v>
      </c>
      <c r="K46" s="78">
        <v>0</v>
      </c>
      <c r="L46" s="36" t="e">
        <f t="shared" ca="1" si="2"/>
        <v>#N/A</v>
      </c>
      <c r="M46" s="37" t="e">
        <f t="shared" ca="1" si="0"/>
        <v>#N/A</v>
      </c>
      <c r="N46" s="37" t="e">
        <f t="shared" ca="1" si="1"/>
        <v>#N/A</v>
      </c>
      <c r="P46" s="35" t="e">
        <f t="shared" ca="1" si="17"/>
        <v>#N/A</v>
      </c>
      <c r="Q46" s="59" t="e">
        <f t="shared" ca="1" si="3"/>
        <v>#N/A</v>
      </c>
      <c r="R46" s="44" t="e">
        <f t="shared" ca="1" si="13"/>
        <v>#N/A</v>
      </c>
      <c r="S46" s="37" t="e">
        <f ca="1">IF(P46="","",IF(P46="Total",SUM($S$19:S45),VLOOKUP($P46,$B$12:$L100,11,FALSE)))</f>
        <v>#N/A</v>
      </c>
      <c r="T46" s="44" t="e">
        <f ca="1">IF(payfreq="Annually",IF(P46="","",IF(P46="Total",SUM($T$19:T45),Adj_Rate*$R46)),IF(payfreq="Semiannually",IF(P46="","",IF(P46="Total",SUM($T$19:T45),Adj_Rate/2*$R46)),IF(payfreq="Quarterly",IF(P46="","",IF(P46="Total",SUM($T$19:T45),Adj_Rate/4*$R46)),IF(payfreq="Monthly",IF(P46="","",IF(P46="Total",SUM($T$19:T45),Adj_Rate/12*$R46)),""))))</f>
        <v>#N/A</v>
      </c>
      <c r="U46" s="37" t="e">
        <f t="shared" ca="1" si="14"/>
        <v>#N/A</v>
      </c>
      <c r="V46" s="44" t="e">
        <f t="shared" ca="1" si="15"/>
        <v>#N/A</v>
      </c>
      <c r="Z46" s="14">
        <f t="shared" ref="Z46" si="31">DATE(YEAR(Z45)+5,MONTH(Z45),DAY(Z45))</f>
        <v>85285</v>
      </c>
      <c r="AA46" s="14">
        <f t="shared" ref="AA46" si="32">DATE(YEAR(AA45)+5,MONTH(AA45),DAY(AA45))</f>
        <v>87110</v>
      </c>
      <c r="AB46">
        <f t="shared" si="26"/>
        <v>2138</v>
      </c>
      <c r="AC46" s="80" t="e">
        <f t="shared" ca="1" si="6"/>
        <v>#N/A</v>
      </c>
      <c r="AD46" s="80" t="e">
        <f t="shared" ca="1" si="7"/>
        <v>#N/A</v>
      </c>
      <c r="AF46" s="14">
        <f t="shared" si="22"/>
        <v>85285</v>
      </c>
      <c r="AG46" s="14">
        <f t="shared" si="21"/>
        <v>87110</v>
      </c>
      <c r="AH46">
        <f t="shared" si="9"/>
        <v>2138</v>
      </c>
      <c r="AI46" s="80" t="e">
        <f t="shared" ca="1" si="10"/>
        <v>#N/A</v>
      </c>
      <c r="AJ46" s="80" t="e">
        <f t="shared" ca="1" si="11"/>
        <v>#N/A</v>
      </c>
    </row>
    <row r="47" spans="2:36">
      <c r="B47" s="38">
        <v>28</v>
      </c>
      <c r="C47" s="77" t="e">
        <f t="shared" ca="1" si="12"/>
        <v>#N/A</v>
      </c>
      <c r="D47" s="78" t="e">
        <f ca="1">+IF(AND(B47&lt;$G$7),VLOOKUP($B$1,Inventory!$A$1:$BC$500,35,FALSE),IF(AND(B47=$G$7,pmt_timing="End"),VLOOKUP($B$1,Inventory!$A$1:$BC$500,35,FALSE),0))</f>
        <v>#N/A</v>
      </c>
      <c r="E47" s="78">
        <v>0</v>
      </c>
      <c r="F47" s="78">
        <v>0</v>
      </c>
      <c r="G47" s="78">
        <v>0</v>
      </c>
      <c r="H47" s="78">
        <v>0</v>
      </c>
      <c r="I47" s="78">
        <v>0</v>
      </c>
      <c r="J47" s="78">
        <v>0</v>
      </c>
      <c r="K47" s="78">
        <v>0</v>
      </c>
      <c r="L47" s="36" t="e">
        <f t="shared" ca="1" si="2"/>
        <v>#N/A</v>
      </c>
      <c r="M47" s="37" t="e">
        <f t="shared" ca="1" si="0"/>
        <v>#N/A</v>
      </c>
      <c r="N47" s="37" t="e">
        <f t="shared" ca="1" si="1"/>
        <v>#N/A</v>
      </c>
      <c r="P47" s="35" t="e">
        <f t="shared" ca="1" si="17"/>
        <v>#N/A</v>
      </c>
      <c r="Q47" s="59" t="e">
        <f t="shared" ca="1" si="3"/>
        <v>#N/A</v>
      </c>
      <c r="R47" s="44" t="e">
        <f t="shared" ca="1" si="13"/>
        <v>#N/A</v>
      </c>
      <c r="S47" s="37" t="e">
        <f ca="1">IF(P47="","",IF(P47="Total",SUM($S$19:S46),VLOOKUP($P47,$B$12:$L101,11,FALSE)))</f>
        <v>#N/A</v>
      </c>
      <c r="T47" s="44" t="e">
        <f ca="1">IF(payfreq="Annually",IF(P47="","",IF(P47="Total",SUM($T$19:T46),Adj_Rate*$R47)),IF(payfreq="Semiannually",IF(P47="","",IF(P47="Total",SUM($T$19:T46),Adj_Rate/2*$R47)),IF(payfreq="Quarterly",IF(P47="","",IF(P47="Total",SUM($T$19:T46),Adj_Rate/4*$R47)),IF(payfreq="Monthly",IF(P47="","",IF(P47="Total",SUM($T$19:T46),Adj_Rate/12*$R47)),""))))</f>
        <v>#N/A</v>
      </c>
      <c r="U47" s="37" t="e">
        <f t="shared" ca="1" si="14"/>
        <v>#N/A</v>
      </c>
      <c r="V47" s="44" t="e">
        <f t="shared" ca="1" si="15"/>
        <v>#N/A</v>
      </c>
      <c r="Z47" s="14">
        <f t="shared" ref="Z47" si="33">DATE(YEAR(Z46)+5,MONTH(Z46),DAY(Z46))</f>
        <v>87111</v>
      </c>
      <c r="AA47" s="14">
        <f t="shared" ref="AA47" si="34">DATE(YEAR(AA46)+5,MONTH(AA46),DAY(AA46))</f>
        <v>88936</v>
      </c>
      <c r="AB47">
        <f t="shared" si="26"/>
        <v>2143</v>
      </c>
      <c r="AC47" s="80" t="e">
        <f t="shared" ca="1" si="6"/>
        <v>#N/A</v>
      </c>
      <c r="AD47" s="80" t="e">
        <f t="shared" ca="1" si="7"/>
        <v>#N/A</v>
      </c>
      <c r="AF47" s="14">
        <f t="shared" si="22"/>
        <v>87111</v>
      </c>
      <c r="AG47" s="14">
        <f t="shared" si="21"/>
        <v>88936</v>
      </c>
      <c r="AH47">
        <f t="shared" si="9"/>
        <v>2143</v>
      </c>
      <c r="AI47" s="80" t="e">
        <f t="shared" ca="1" si="10"/>
        <v>#N/A</v>
      </c>
      <c r="AJ47" s="80" t="e">
        <f t="shared" ca="1" si="11"/>
        <v>#N/A</v>
      </c>
    </row>
    <row r="48" spans="2:36">
      <c r="B48" s="38">
        <v>29</v>
      </c>
      <c r="C48" s="77" t="e">
        <f t="shared" ca="1" si="12"/>
        <v>#N/A</v>
      </c>
      <c r="D48" s="78" t="e">
        <f ca="1">+IF(AND(B48&lt;$G$7),VLOOKUP($B$1,Inventory!$A$1:$BC$500,35,FALSE),IF(AND(B48=$G$7,pmt_timing="End"),VLOOKUP($B$1,Inventory!$A$1:$BC$500,35,FALSE),0))</f>
        <v>#N/A</v>
      </c>
      <c r="E48" s="78">
        <v>0</v>
      </c>
      <c r="F48" s="78">
        <v>0</v>
      </c>
      <c r="G48" s="78">
        <v>0</v>
      </c>
      <c r="H48" s="78">
        <v>0</v>
      </c>
      <c r="I48" s="78">
        <v>0</v>
      </c>
      <c r="J48" s="78">
        <v>0</v>
      </c>
      <c r="K48" s="78">
        <v>0</v>
      </c>
      <c r="L48" s="36" t="e">
        <f t="shared" ca="1" si="2"/>
        <v>#N/A</v>
      </c>
      <c r="M48" s="37" t="e">
        <f t="shared" ca="1" si="0"/>
        <v>#N/A</v>
      </c>
      <c r="N48" s="37" t="e">
        <f t="shared" ca="1" si="1"/>
        <v>#N/A</v>
      </c>
      <c r="P48" s="35" t="e">
        <f t="shared" ca="1" si="17"/>
        <v>#N/A</v>
      </c>
      <c r="Q48" s="59" t="e">
        <f t="shared" ca="1" si="3"/>
        <v>#N/A</v>
      </c>
      <c r="R48" s="44" t="e">
        <f t="shared" ca="1" si="13"/>
        <v>#N/A</v>
      </c>
      <c r="S48" s="37" t="e">
        <f ca="1">IF(P48="","",IF(P48="Total",SUM($S$19:S47),VLOOKUP($P48,$B$12:$L102,11,FALSE)))</f>
        <v>#N/A</v>
      </c>
      <c r="T48" s="44" t="e">
        <f ca="1">IF(payfreq="Annually",IF(P48="","",IF(P48="Total",SUM($T$19:T47),Adj_Rate*$R48)),IF(payfreq="Semiannually",IF(P48="","",IF(P48="Total",SUM($T$19:T47),Adj_Rate/2*$R48)),IF(payfreq="Quarterly",IF(P48="","",IF(P48="Total",SUM($T$19:T47),Adj_Rate/4*$R48)),IF(payfreq="Monthly",IF(P48="","",IF(P48="Total",SUM($T$19:T47),Adj_Rate/12*$R48)),""))))</f>
        <v>#N/A</v>
      </c>
      <c r="U48" s="37" t="e">
        <f t="shared" ca="1" si="14"/>
        <v>#N/A</v>
      </c>
      <c r="V48" s="44" t="e">
        <f t="shared" ca="1" si="15"/>
        <v>#N/A</v>
      </c>
      <c r="Z48" s="14">
        <f t="shared" ref="Z48:Z65" si="35">DATE(YEAR(Z47)+5,MONTH(Z47),DAY(Z47))</f>
        <v>88937</v>
      </c>
      <c r="AA48" s="14">
        <f t="shared" ref="AA48:AA65" si="36">DATE(YEAR(AA47)+5,MONTH(AA47),DAY(AA47))</f>
        <v>90763</v>
      </c>
      <c r="AB48">
        <f t="shared" ref="AB48" si="37">+YEAR(AA48)</f>
        <v>2148</v>
      </c>
      <c r="AC48" s="80" t="e">
        <f t="shared" ca="1" si="6"/>
        <v>#N/A</v>
      </c>
      <c r="AD48" s="80" t="e">
        <f t="shared" ca="1" si="7"/>
        <v>#N/A</v>
      </c>
      <c r="AF48" s="14">
        <f t="shared" si="22"/>
        <v>88937</v>
      </c>
      <c r="AG48" s="14">
        <f t="shared" si="21"/>
        <v>90763</v>
      </c>
      <c r="AH48">
        <f t="shared" ref="AH48" si="38">+YEAR(AG48)</f>
        <v>2148</v>
      </c>
      <c r="AI48" s="80" t="e">
        <f t="shared" ca="1" si="10"/>
        <v>#N/A</v>
      </c>
      <c r="AJ48" s="80" t="e">
        <f t="shared" ca="1" si="11"/>
        <v>#N/A</v>
      </c>
    </row>
    <row r="49" spans="2:36">
      <c r="B49" s="38">
        <v>30</v>
      </c>
      <c r="C49" s="77" t="e">
        <f t="shared" ca="1" si="12"/>
        <v>#N/A</v>
      </c>
      <c r="D49" s="78" t="e">
        <f ca="1">+IF(AND(B49&lt;$G$7),VLOOKUP($B$1,Inventory!$A$1:$BC$500,35,FALSE),IF(AND(B49=$G$7,pmt_timing="End"),VLOOKUP($B$1,Inventory!$A$1:$BC$500,35,FALSE),0))</f>
        <v>#N/A</v>
      </c>
      <c r="E49" s="78">
        <v>0</v>
      </c>
      <c r="F49" s="78">
        <v>0</v>
      </c>
      <c r="G49" s="78">
        <v>0</v>
      </c>
      <c r="H49" s="78">
        <v>0</v>
      </c>
      <c r="I49" s="78">
        <v>0</v>
      </c>
      <c r="J49" s="78">
        <v>0</v>
      </c>
      <c r="K49" s="78">
        <v>0</v>
      </c>
      <c r="L49" s="36" t="e">
        <f t="shared" ca="1" si="2"/>
        <v>#N/A</v>
      </c>
      <c r="M49" s="37" t="e">
        <f t="shared" ca="1" si="0"/>
        <v>#N/A</v>
      </c>
      <c r="N49" s="37" t="e">
        <f t="shared" ca="1" si="1"/>
        <v>#N/A</v>
      </c>
      <c r="P49" s="35" t="e">
        <f t="shared" ca="1" si="17"/>
        <v>#N/A</v>
      </c>
      <c r="Q49" s="59" t="e">
        <f t="shared" ca="1" si="3"/>
        <v>#N/A</v>
      </c>
      <c r="R49" s="44" t="e">
        <f t="shared" ca="1" si="13"/>
        <v>#N/A</v>
      </c>
      <c r="S49" s="37" t="e">
        <f ca="1">IF(P49="","",IF(P49="Total",SUM($S$19:S48),VLOOKUP($P49,$B$12:$L103,11,FALSE)))</f>
        <v>#N/A</v>
      </c>
      <c r="T49" s="44" t="e">
        <f ca="1">IF(payfreq="Annually",IF(P49="","",IF(P49="Total",SUM($T$19:T48),Adj_Rate*$R49)),IF(payfreq="Semiannually",IF(P49="","",IF(P49="Total",SUM($T$19:T48),Adj_Rate/2*$R49)),IF(payfreq="Quarterly",IF(P49="","",IF(P49="Total",SUM($T$19:T48),Adj_Rate/4*$R49)),IF(payfreq="Monthly",IF(P49="","",IF(P49="Total",SUM($T$19:T48),Adj_Rate/12*$R49)),""))))</f>
        <v>#N/A</v>
      </c>
      <c r="U49" s="37" t="e">
        <f t="shared" ca="1" si="14"/>
        <v>#N/A</v>
      </c>
      <c r="V49" s="44" t="e">
        <f t="shared" ca="1" si="15"/>
        <v>#N/A</v>
      </c>
      <c r="Z49" s="14">
        <f t="shared" si="35"/>
        <v>90764</v>
      </c>
      <c r="AA49" s="14">
        <f t="shared" si="36"/>
        <v>92589</v>
      </c>
      <c r="AB49">
        <f t="shared" ref="AB49:AB64" si="39">+YEAR(AA49)</f>
        <v>2153</v>
      </c>
      <c r="AC49" s="80" t="e">
        <f t="shared" ca="1" si="6"/>
        <v>#N/A</v>
      </c>
      <c r="AD49" s="80" t="e">
        <f t="shared" ca="1" si="7"/>
        <v>#N/A</v>
      </c>
      <c r="AF49" s="14">
        <f t="shared" si="22"/>
        <v>90764</v>
      </c>
      <c r="AG49" s="14">
        <f t="shared" si="21"/>
        <v>92589</v>
      </c>
      <c r="AH49">
        <f t="shared" ref="AH49:AH64" si="40">+YEAR(AG49)</f>
        <v>2153</v>
      </c>
      <c r="AI49" s="80" t="e">
        <f t="shared" ca="1" si="10"/>
        <v>#N/A</v>
      </c>
      <c r="AJ49" s="80" t="e">
        <f t="shared" ca="1" si="11"/>
        <v>#N/A</v>
      </c>
    </row>
    <row r="50" spans="2:36">
      <c r="B50" s="38">
        <v>31</v>
      </c>
      <c r="C50" s="77" t="e">
        <f t="shared" ca="1" si="12"/>
        <v>#N/A</v>
      </c>
      <c r="D50" s="78" t="e">
        <f ca="1">+IF(AND(B50&lt;$G$7),VLOOKUP($B$1,Inventory!$A$1:$BC$500,35,FALSE),IF(AND(B50=$G$7,pmt_timing="End"),VLOOKUP($B$1,Inventory!$A$1:$BC$500,35,FALSE),0))</f>
        <v>#N/A</v>
      </c>
      <c r="E50" s="78">
        <v>0</v>
      </c>
      <c r="F50" s="78">
        <v>0</v>
      </c>
      <c r="G50" s="78">
        <v>0</v>
      </c>
      <c r="H50" s="78">
        <v>0</v>
      </c>
      <c r="I50" s="78">
        <v>0</v>
      </c>
      <c r="J50" s="78">
        <v>0</v>
      </c>
      <c r="K50" s="78">
        <v>0</v>
      </c>
      <c r="L50" s="36" t="e">
        <f t="shared" ca="1" si="2"/>
        <v>#N/A</v>
      </c>
      <c r="M50" s="37" t="e">
        <f t="shared" ca="1" si="0"/>
        <v>#N/A</v>
      </c>
      <c r="N50" s="37" t="e">
        <f t="shared" ca="1" si="1"/>
        <v>#N/A</v>
      </c>
      <c r="P50" s="35" t="e">
        <f t="shared" ca="1" si="17"/>
        <v>#N/A</v>
      </c>
      <c r="Q50" s="59" t="e">
        <f t="shared" ca="1" si="3"/>
        <v>#N/A</v>
      </c>
      <c r="R50" s="44" t="e">
        <f t="shared" ca="1" si="13"/>
        <v>#N/A</v>
      </c>
      <c r="S50" s="37" t="e">
        <f ca="1">IF(P50="","",IF(P50="Total",SUM($S$19:S49),VLOOKUP($P50,$B$12:$L104,11,FALSE)))</f>
        <v>#N/A</v>
      </c>
      <c r="T50" s="44" t="e">
        <f ca="1">IF(payfreq="Annually",IF(P50="","",IF(P50="Total",SUM($T$19:T49),Adj_Rate*$R50)),IF(payfreq="Semiannually",IF(P50="","",IF(P50="Total",SUM($T$19:T49),Adj_Rate/2*$R50)),IF(payfreq="Quarterly",IF(P50="","",IF(P50="Total",SUM($T$19:T49),Adj_Rate/4*$R50)),IF(payfreq="Monthly",IF(P50="","",IF(P50="Total",SUM($T$19:T49),Adj_Rate/12*$R50)),""))))</f>
        <v>#N/A</v>
      </c>
      <c r="U50" s="37" t="e">
        <f t="shared" ca="1" si="14"/>
        <v>#N/A</v>
      </c>
      <c r="V50" s="44" t="e">
        <f t="shared" ca="1" si="15"/>
        <v>#N/A</v>
      </c>
      <c r="Z50" s="14">
        <f t="shared" si="35"/>
        <v>92590</v>
      </c>
      <c r="AA50" s="14">
        <f t="shared" si="36"/>
        <v>94415</v>
      </c>
      <c r="AB50">
        <f t="shared" si="39"/>
        <v>2158</v>
      </c>
      <c r="AC50" s="80" t="e">
        <f t="shared" ca="1" si="6"/>
        <v>#N/A</v>
      </c>
      <c r="AD50" s="80" t="e">
        <f t="shared" ca="1" si="7"/>
        <v>#N/A</v>
      </c>
      <c r="AF50" s="14">
        <f t="shared" si="22"/>
        <v>92590</v>
      </c>
      <c r="AG50" s="14">
        <f t="shared" si="21"/>
        <v>94415</v>
      </c>
      <c r="AH50">
        <f t="shared" si="40"/>
        <v>2158</v>
      </c>
      <c r="AI50" s="80" t="e">
        <f t="shared" ca="1" si="10"/>
        <v>#N/A</v>
      </c>
      <c r="AJ50" s="80" t="e">
        <f t="shared" ca="1" si="11"/>
        <v>#N/A</v>
      </c>
    </row>
    <row r="51" spans="2:36">
      <c r="B51" s="38">
        <v>32</v>
      </c>
      <c r="C51" s="77" t="e">
        <f t="shared" ca="1" si="12"/>
        <v>#N/A</v>
      </c>
      <c r="D51" s="78" t="e">
        <f ca="1">+IF(AND(B51&lt;$G$7),VLOOKUP($B$1,Inventory!$A$1:$BC$500,35,FALSE),IF(AND(B51=$G$7,pmt_timing="End"),VLOOKUP($B$1,Inventory!$A$1:$BC$500,35,FALSE),0))</f>
        <v>#N/A</v>
      </c>
      <c r="E51" s="78">
        <v>0</v>
      </c>
      <c r="F51" s="78">
        <v>0</v>
      </c>
      <c r="G51" s="78">
        <v>0</v>
      </c>
      <c r="H51" s="78">
        <v>0</v>
      </c>
      <c r="I51" s="78">
        <v>0</v>
      </c>
      <c r="J51" s="78">
        <v>0</v>
      </c>
      <c r="K51" s="78">
        <v>0</v>
      </c>
      <c r="L51" s="36" t="e">
        <f t="shared" ca="1" si="2"/>
        <v>#N/A</v>
      </c>
      <c r="M51" s="37" t="e">
        <f t="shared" ca="1" si="0"/>
        <v>#N/A</v>
      </c>
      <c r="N51" s="37" t="e">
        <f t="shared" ca="1" si="1"/>
        <v>#N/A</v>
      </c>
      <c r="P51" s="35" t="e">
        <f t="shared" ca="1" si="17"/>
        <v>#N/A</v>
      </c>
      <c r="Q51" s="59" t="e">
        <f t="shared" ca="1" si="3"/>
        <v>#N/A</v>
      </c>
      <c r="R51" s="44" t="e">
        <f t="shared" ca="1" si="13"/>
        <v>#N/A</v>
      </c>
      <c r="S51" s="37" t="e">
        <f ca="1">IF(P51="","",IF(P51="Total",SUM($S$19:S50),VLOOKUP($P51,$B$12:$L105,11,FALSE)))</f>
        <v>#N/A</v>
      </c>
      <c r="T51" s="44" t="e">
        <f ca="1">IF(payfreq="Annually",IF(P51="","",IF(P51="Total",SUM($T$19:T50),Adj_Rate*$R51)),IF(payfreq="Semiannually",IF(P51="","",IF(P51="Total",SUM($T$19:T50),Adj_Rate/2*$R51)),IF(payfreq="Quarterly",IF(P51="","",IF(P51="Total",SUM($T$19:T50),Adj_Rate/4*$R51)),IF(payfreq="Monthly",IF(P51="","",IF(P51="Total",SUM($T$19:T50),Adj_Rate/12*$R51)),""))))</f>
        <v>#N/A</v>
      </c>
      <c r="U51" s="37" t="e">
        <f t="shared" ca="1" si="14"/>
        <v>#N/A</v>
      </c>
      <c r="V51" s="44" t="e">
        <f t="shared" ca="1" si="15"/>
        <v>#N/A</v>
      </c>
      <c r="Z51" s="14">
        <f t="shared" si="35"/>
        <v>94416</v>
      </c>
      <c r="AA51" s="14">
        <f t="shared" si="36"/>
        <v>96241</v>
      </c>
      <c r="AB51">
        <f t="shared" si="39"/>
        <v>2163</v>
      </c>
      <c r="AC51" s="80" t="e">
        <f t="shared" ca="1" si="6"/>
        <v>#N/A</v>
      </c>
      <c r="AD51" s="80" t="e">
        <f t="shared" ca="1" si="7"/>
        <v>#N/A</v>
      </c>
      <c r="AF51" s="14">
        <f t="shared" si="22"/>
        <v>94416</v>
      </c>
      <c r="AG51" s="14">
        <f t="shared" si="21"/>
        <v>96241</v>
      </c>
      <c r="AH51">
        <f t="shared" si="40"/>
        <v>2163</v>
      </c>
      <c r="AI51" s="80" t="e">
        <f t="shared" ca="1" si="10"/>
        <v>#N/A</v>
      </c>
      <c r="AJ51" s="80" t="e">
        <f t="shared" ca="1" si="11"/>
        <v>#N/A</v>
      </c>
    </row>
    <row r="52" spans="2:36">
      <c r="B52" s="38">
        <v>33</v>
      </c>
      <c r="C52" s="77" t="e">
        <f t="shared" ca="1" si="12"/>
        <v>#N/A</v>
      </c>
      <c r="D52" s="78" t="e">
        <f ca="1">+IF(AND(B52&lt;$G$7),VLOOKUP($B$1,Inventory!$A$1:$BC$500,35,FALSE),IF(AND(B52=$G$7,pmt_timing="End"),VLOOKUP($B$1,Inventory!$A$1:$BC$500,35,FALSE),0))</f>
        <v>#N/A</v>
      </c>
      <c r="E52" s="78">
        <v>0</v>
      </c>
      <c r="F52" s="78">
        <v>0</v>
      </c>
      <c r="G52" s="78">
        <v>0</v>
      </c>
      <c r="H52" s="78">
        <v>0</v>
      </c>
      <c r="I52" s="78">
        <v>0</v>
      </c>
      <c r="J52" s="78">
        <v>0</v>
      </c>
      <c r="K52" s="78">
        <v>0</v>
      </c>
      <c r="L52" s="36" t="e">
        <f t="shared" ca="1" si="2"/>
        <v>#N/A</v>
      </c>
      <c r="M52" s="37" t="e">
        <f t="shared" ca="1" si="0"/>
        <v>#N/A</v>
      </c>
      <c r="N52" s="37" t="e">
        <f t="shared" ca="1" si="1"/>
        <v>#N/A</v>
      </c>
      <c r="P52" s="35" t="e">
        <f t="shared" ca="1" si="17"/>
        <v>#N/A</v>
      </c>
      <c r="Q52" s="59" t="e">
        <f t="shared" ca="1" si="3"/>
        <v>#N/A</v>
      </c>
      <c r="R52" s="44" t="e">
        <f t="shared" ca="1" si="13"/>
        <v>#N/A</v>
      </c>
      <c r="S52" s="37" t="e">
        <f ca="1">IF(P52="","",IF(P52="Total",SUM($S$19:S51),VLOOKUP($P52,$B$12:$L106,11,FALSE)))</f>
        <v>#N/A</v>
      </c>
      <c r="T52" s="44" t="e">
        <f ca="1">IF(payfreq="Annually",IF(P52="","",IF(P52="Total",SUM($T$19:T51),Adj_Rate*$R52)),IF(payfreq="Semiannually",IF(P52="","",IF(P52="Total",SUM($T$19:T51),Adj_Rate/2*$R52)),IF(payfreq="Quarterly",IF(P52="","",IF(P52="Total",SUM($T$19:T51),Adj_Rate/4*$R52)),IF(payfreq="Monthly",IF(P52="","",IF(P52="Total",SUM($T$19:T51),Adj_Rate/12*$R52)),""))))</f>
        <v>#N/A</v>
      </c>
      <c r="U52" s="37" t="e">
        <f t="shared" ca="1" si="14"/>
        <v>#N/A</v>
      </c>
      <c r="V52" s="44" t="e">
        <f t="shared" ca="1" si="15"/>
        <v>#N/A</v>
      </c>
      <c r="Z52" s="14">
        <f t="shared" si="35"/>
        <v>96242</v>
      </c>
      <c r="AA52" s="14">
        <f t="shared" si="36"/>
        <v>98068</v>
      </c>
      <c r="AB52">
        <f t="shared" si="39"/>
        <v>2168</v>
      </c>
      <c r="AC52" s="80" t="e">
        <f t="shared" ca="1" si="6"/>
        <v>#N/A</v>
      </c>
      <c r="AD52" s="80" t="e">
        <f t="shared" ca="1" si="7"/>
        <v>#N/A</v>
      </c>
      <c r="AF52" s="14">
        <f t="shared" si="22"/>
        <v>96242</v>
      </c>
      <c r="AG52" s="14">
        <f t="shared" si="21"/>
        <v>98068</v>
      </c>
      <c r="AH52">
        <f t="shared" si="40"/>
        <v>2168</v>
      </c>
      <c r="AI52" s="80" t="e">
        <f t="shared" ca="1" si="10"/>
        <v>#N/A</v>
      </c>
      <c r="AJ52" s="80" t="e">
        <f t="shared" ca="1" si="11"/>
        <v>#N/A</v>
      </c>
    </row>
    <row r="53" spans="2:36">
      <c r="B53" s="38">
        <v>34</v>
      </c>
      <c r="C53" s="77" t="e">
        <f t="shared" ca="1" si="12"/>
        <v>#N/A</v>
      </c>
      <c r="D53" s="78" t="e">
        <f ca="1">+IF(AND(B53&lt;$G$7),VLOOKUP($B$1,Inventory!$A$1:$BC$500,35,FALSE),IF(AND(B53=$G$7,pmt_timing="End"),VLOOKUP($B$1,Inventory!$A$1:$BC$500,35,FALSE),0))</f>
        <v>#N/A</v>
      </c>
      <c r="E53" s="78">
        <v>0</v>
      </c>
      <c r="F53" s="78">
        <v>0</v>
      </c>
      <c r="G53" s="78">
        <v>0</v>
      </c>
      <c r="H53" s="78">
        <v>0</v>
      </c>
      <c r="I53" s="78">
        <v>0</v>
      </c>
      <c r="J53" s="78">
        <v>0</v>
      </c>
      <c r="K53" s="78">
        <v>0</v>
      </c>
      <c r="L53" s="36" t="e">
        <f t="shared" ca="1" si="2"/>
        <v>#N/A</v>
      </c>
      <c r="M53" s="37" t="e">
        <f t="shared" ca="1" si="0"/>
        <v>#N/A</v>
      </c>
      <c r="N53" s="37" t="e">
        <f t="shared" ca="1" si="1"/>
        <v>#N/A</v>
      </c>
      <c r="P53" s="35" t="e">
        <f t="shared" ca="1" si="17"/>
        <v>#N/A</v>
      </c>
      <c r="Q53" s="59" t="e">
        <f t="shared" ca="1" si="3"/>
        <v>#N/A</v>
      </c>
      <c r="R53" s="44" t="e">
        <f t="shared" ca="1" si="13"/>
        <v>#N/A</v>
      </c>
      <c r="S53" s="37" t="e">
        <f ca="1">IF(P53="","",IF(P53="Total",SUM($S$19:S52),VLOOKUP($P53,$B$12:$L107,11,FALSE)))</f>
        <v>#N/A</v>
      </c>
      <c r="T53" s="44" t="e">
        <f ca="1">IF(payfreq="Annually",IF(P53="","",IF(P53="Total",SUM($T$19:T52),Adj_Rate*$R53)),IF(payfreq="Semiannually",IF(P53="","",IF(P53="Total",SUM($T$19:T52),Adj_Rate/2*$R53)),IF(payfreq="Quarterly",IF(P53="","",IF(P53="Total",SUM($T$19:T52),Adj_Rate/4*$R53)),IF(payfreq="Monthly",IF(P53="","",IF(P53="Total",SUM($T$19:T52),Adj_Rate/12*$R53)),""))))</f>
        <v>#N/A</v>
      </c>
      <c r="U53" s="37" t="e">
        <f t="shared" ca="1" si="14"/>
        <v>#N/A</v>
      </c>
      <c r="V53" s="44" t="e">
        <f t="shared" ca="1" si="15"/>
        <v>#N/A</v>
      </c>
      <c r="Z53" s="14">
        <f t="shared" si="35"/>
        <v>98069</v>
      </c>
      <c r="AA53" s="14">
        <f t="shared" si="36"/>
        <v>99894</v>
      </c>
      <c r="AB53">
        <f t="shared" si="39"/>
        <v>2173</v>
      </c>
      <c r="AC53" s="80" t="e">
        <f t="shared" ca="1" si="6"/>
        <v>#N/A</v>
      </c>
      <c r="AD53" s="80" t="e">
        <f t="shared" ca="1" si="7"/>
        <v>#N/A</v>
      </c>
      <c r="AF53" s="14">
        <f t="shared" si="22"/>
        <v>98069</v>
      </c>
      <c r="AG53" s="14">
        <f t="shared" si="21"/>
        <v>99894</v>
      </c>
      <c r="AH53">
        <f t="shared" si="40"/>
        <v>2173</v>
      </c>
      <c r="AI53" s="80" t="e">
        <f t="shared" ca="1" si="10"/>
        <v>#N/A</v>
      </c>
      <c r="AJ53" s="80" t="e">
        <f t="shared" ca="1" si="11"/>
        <v>#N/A</v>
      </c>
    </row>
    <row r="54" spans="2:36">
      <c r="B54" s="38">
        <v>35</v>
      </c>
      <c r="C54" s="77" t="e">
        <f t="shared" ca="1" si="12"/>
        <v>#N/A</v>
      </c>
      <c r="D54" s="78" t="e">
        <f ca="1">+IF(AND(B54&lt;$G$7),VLOOKUP($B$1,Inventory!$A$1:$BC$500,35,FALSE),IF(AND(B54=$G$7,pmt_timing="End"),VLOOKUP($B$1,Inventory!$A$1:$BC$500,35,FALSE),0))</f>
        <v>#N/A</v>
      </c>
      <c r="E54" s="78">
        <v>0</v>
      </c>
      <c r="F54" s="78">
        <v>0</v>
      </c>
      <c r="G54" s="78">
        <v>0</v>
      </c>
      <c r="H54" s="78">
        <v>0</v>
      </c>
      <c r="I54" s="78">
        <v>0</v>
      </c>
      <c r="J54" s="78">
        <v>0</v>
      </c>
      <c r="K54" s="78">
        <v>0</v>
      </c>
      <c r="L54" s="36" t="e">
        <f t="shared" ca="1" si="2"/>
        <v>#N/A</v>
      </c>
      <c r="M54" s="37" t="e">
        <f t="shared" ca="1" si="0"/>
        <v>#N/A</v>
      </c>
      <c r="N54" s="37" t="e">
        <f t="shared" ca="1" si="1"/>
        <v>#N/A</v>
      </c>
      <c r="P54" s="35" t="e">
        <f t="shared" ca="1" si="17"/>
        <v>#N/A</v>
      </c>
      <c r="Q54" s="59" t="e">
        <f t="shared" ca="1" si="3"/>
        <v>#N/A</v>
      </c>
      <c r="R54" s="44" t="e">
        <f t="shared" ca="1" si="13"/>
        <v>#N/A</v>
      </c>
      <c r="S54" s="37" t="e">
        <f ca="1">IF(P54="","",IF(P54="Total",SUM($S$19:S53),VLOOKUP($P54,$B$12:$L108,11,FALSE)))</f>
        <v>#N/A</v>
      </c>
      <c r="T54" s="44" t="e">
        <f ca="1">IF(payfreq="Annually",IF(P54="","",IF(P54="Total",SUM($T$19:T53),Adj_Rate*$R54)),IF(payfreq="Semiannually",IF(P54="","",IF(P54="Total",SUM($T$19:T53),Adj_Rate/2*$R54)),IF(payfreq="Quarterly",IF(P54="","",IF(P54="Total",SUM($T$19:T53),Adj_Rate/4*$R54)),IF(payfreq="Monthly",IF(P54="","",IF(P54="Total",SUM($T$19:T53),Adj_Rate/12*$R54)),""))))</f>
        <v>#N/A</v>
      </c>
      <c r="U54" s="37" t="e">
        <f t="shared" ca="1" si="14"/>
        <v>#N/A</v>
      </c>
      <c r="V54" s="44" t="e">
        <f t="shared" ca="1" si="15"/>
        <v>#N/A</v>
      </c>
      <c r="Z54" s="14">
        <f t="shared" si="35"/>
        <v>99895</v>
      </c>
      <c r="AA54" s="14">
        <f t="shared" si="36"/>
        <v>101720</v>
      </c>
      <c r="AB54">
        <f t="shared" si="39"/>
        <v>2178</v>
      </c>
      <c r="AC54" s="80" t="e">
        <f t="shared" ca="1" si="6"/>
        <v>#N/A</v>
      </c>
      <c r="AD54" s="80" t="e">
        <f t="shared" ca="1" si="7"/>
        <v>#N/A</v>
      </c>
      <c r="AF54" s="14">
        <f t="shared" si="22"/>
        <v>99895</v>
      </c>
      <c r="AG54" s="14">
        <f t="shared" si="21"/>
        <v>101720</v>
      </c>
      <c r="AH54">
        <f t="shared" si="40"/>
        <v>2178</v>
      </c>
      <c r="AI54" s="80" t="e">
        <f t="shared" ca="1" si="10"/>
        <v>#N/A</v>
      </c>
      <c r="AJ54" s="80" t="e">
        <f t="shared" ca="1" si="11"/>
        <v>#N/A</v>
      </c>
    </row>
    <row r="55" spans="2:36">
      <c r="B55" s="38">
        <v>36</v>
      </c>
      <c r="C55" s="77" t="e">
        <f t="shared" ca="1" si="12"/>
        <v>#N/A</v>
      </c>
      <c r="D55" s="78" t="e">
        <f ca="1">+IF(AND(B55&lt;$G$7),VLOOKUP($B$1,Inventory!$A$1:$BC$500,35,FALSE),IF(AND(B55=$G$7,pmt_timing="End"),VLOOKUP($B$1,Inventory!$A$1:$BC$500,35,FALSE),0))</f>
        <v>#N/A</v>
      </c>
      <c r="E55" s="78">
        <v>0</v>
      </c>
      <c r="F55" s="78">
        <v>0</v>
      </c>
      <c r="G55" s="78">
        <v>0</v>
      </c>
      <c r="H55" s="78">
        <v>0</v>
      </c>
      <c r="I55" s="78">
        <v>0</v>
      </c>
      <c r="J55" s="78">
        <v>0</v>
      </c>
      <c r="K55" s="78">
        <v>0</v>
      </c>
      <c r="L55" s="36" t="e">
        <f t="shared" ca="1" si="2"/>
        <v>#N/A</v>
      </c>
      <c r="M55" s="37" t="e">
        <f t="shared" ca="1" si="0"/>
        <v>#N/A</v>
      </c>
      <c r="N55" s="37" t="e">
        <f t="shared" ca="1" si="1"/>
        <v>#N/A</v>
      </c>
      <c r="P55" s="35" t="e">
        <f t="shared" ca="1" si="17"/>
        <v>#N/A</v>
      </c>
      <c r="Q55" s="59" t="e">
        <f t="shared" ca="1" si="3"/>
        <v>#N/A</v>
      </c>
      <c r="R55" s="44" t="e">
        <f t="shared" ca="1" si="13"/>
        <v>#N/A</v>
      </c>
      <c r="S55" s="37" t="e">
        <f ca="1">IF(P55="","",IF(P55="Total",SUM($S$19:S54),VLOOKUP($P55,$B$12:$L109,11,FALSE)))</f>
        <v>#N/A</v>
      </c>
      <c r="T55" s="44" t="e">
        <f ca="1">IF(payfreq="Annually",IF(P55="","",IF(P55="Total",SUM($T$19:T54),Adj_Rate*$R55)),IF(payfreq="Semiannually",IF(P55="","",IF(P55="Total",SUM($T$19:T54),Adj_Rate/2*$R55)),IF(payfreq="Quarterly",IF(P55="","",IF(P55="Total",SUM($T$19:T54),Adj_Rate/4*$R55)),IF(payfreq="Monthly",IF(P55="","",IF(P55="Total",SUM($T$19:T54),Adj_Rate/12*$R55)),""))))</f>
        <v>#N/A</v>
      </c>
      <c r="U55" s="37" t="e">
        <f t="shared" ca="1" si="14"/>
        <v>#N/A</v>
      </c>
      <c r="V55" s="44" t="e">
        <f t="shared" ca="1" si="15"/>
        <v>#N/A</v>
      </c>
      <c r="Z55" s="14">
        <f t="shared" si="35"/>
        <v>101721</v>
      </c>
      <c r="AA55" s="14">
        <f t="shared" si="36"/>
        <v>103546</v>
      </c>
      <c r="AB55">
        <f t="shared" si="39"/>
        <v>2183</v>
      </c>
      <c r="AC55" s="80" t="e">
        <f t="shared" ca="1" si="6"/>
        <v>#N/A</v>
      </c>
      <c r="AD55" s="80" t="e">
        <f t="shared" ca="1" si="7"/>
        <v>#N/A</v>
      </c>
      <c r="AF55" s="14">
        <f t="shared" si="22"/>
        <v>101721</v>
      </c>
      <c r="AG55" s="14">
        <f t="shared" si="21"/>
        <v>103546</v>
      </c>
      <c r="AH55">
        <f t="shared" si="40"/>
        <v>2183</v>
      </c>
      <c r="AI55" s="80" t="e">
        <f t="shared" ca="1" si="10"/>
        <v>#N/A</v>
      </c>
      <c r="AJ55" s="80" t="e">
        <f t="shared" ca="1" si="11"/>
        <v>#N/A</v>
      </c>
    </row>
    <row r="56" spans="2:36">
      <c r="B56" s="38">
        <v>37</v>
      </c>
      <c r="C56" s="77" t="e">
        <f t="shared" ca="1" si="12"/>
        <v>#N/A</v>
      </c>
      <c r="D56" s="78" t="e">
        <f ca="1">+IF(AND(B56&lt;$G$7),VLOOKUP($B$1,Inventory!$A$1:$BC$500,35,FALSE),IF(AND(B56=$G$7,pmt_timing="End"),VLOOKUP($B$1,Inventory!$A$1:$BC$500,35,FALSE),0))</f>
        <v>#N/A</v>
      </c>
      <c r="E56" s="78">
        <v>0</v>
      </c>
      <c r="F56" s="78">
        <v>0</v>
      </c>
      <c r="G56" s="78">
        <v>0</v>
      </c>
      <c r="H56" s="78">
        <v>0</v>
      </c>
      <c r="I56" s="78">
        <v>0</v>
      </c>
      <c r="J56" s="78">
        <v>0</v>
      </c>
      <c r="K56" s="78">
        <v>0</v>
      </c>
      <c r="L56" s="36" t="e">
        <f t="shared" ca="1" si="2"/>
        <v>#N/A</v>
      </c>
      <c r="M56" s="37" t="e">
        <f t="shared" ca="1" si="0"/>
        <v>#N/A</v>
      </c>
      <c r="N56" s="37" t="e">
        <f t="shared" ca="1" si="1"/>
        <v>#N/A</v>
      </c>
      <c r="P56" s="35" t="e">
        <f t="shared" ca="1" si="17"/>
        <v>#N/A</v>
      </c>
      <c r="Q56" s="59" t="e">
        <f t="shared" ca="1" si="3"/>
        <v>#N/A</v>
      </c>
      <c r="R56" s="44" t="e">
        <f t="shared" ca="1" si="13"/>
        <v>#N/A</v>
      </c>
      <c r="S56" s="37" t="e">
        <f ca="1">IF(P56="","",IF(P56="Total",SUM($S$19:S55),VLOOKUP($P56,$B$12:$L110,11,FALSE)))</f>
        <v>#N/A</v>
      </c>
      <c r="T56" s="44" t="e">
        <f ca="1">IF(payfreq="Annually",IF(P56="","",IF(P56="Total",SUM($T$19:T55),Adj_Rate*$R56)),IF(payfreq="Semiannually",IF(P56="","",IF(P56="Total",SUM($T$19:T55),Adj_Rate/2*$R56)),IF(payfreq="Quarterly",IF(P56="","",IF(P56="Total",SUM($T$19:T55),Adj_Rate/4*$R56)),IF(payfreq="Monthly",IF(P56="","",IF(P56="Total",SUM($T$19:T55),Adj_Rate/12*$R56)),""))))</f>
        <v>#N/A</v>
      </c>
      <c r="U56" s="37" t="e">
        <f t="shared" ca="1" si="14"/>
        <v>#N/A</v>
      </c>
      <c r="V56" s="44" t="e">
        <f t="shared" ca="1" si="15"/>
        <v>#N/A</v>
      </c>
      <c r="Z56" s="14">
        <f t="shared" si="35"/>
        <v>103547</v>
      </c>
      <c r="AA56" s="14">
        <f t="shared" si="36"/>
        <v>105373</v>
      </c>
      <c r="AB56">
        <f t="shared" si="39"/>
        <v>2188</v>
      </c>
      <c r="AC56" s="80" t="e">
        <f t="shared" ca="1" si="6"/>
        <v>#N/A</v>
      </c>
      <c r="AD56" s="80" t="e">
        <f t="shared" ca="1" si="7"/>
        <v>#N/A</v>
      </c>
      <c r="AF56" s="14">
        <f t="shared" si="22"/>
        <v>103547</v>
      </c>
      <c r="AG56" s="14">
        <f t="shared" si="21"/>
        <v>105373</v>
      </c>
      <c r="AH56">
        <f t="shared" si="40"/>
        <v>2188</v>
      </c>
      <c r="AI56" s="80" t="e">
        <f t="shared" ca="1" si="10"/>
        <v>#N/A</v>
      </c>
      <c r="AJ56" s="80" t="e">
        <f t="shared" ca="1" si="11"/>
        <v>#N/A</v>
      </c>
    </row>
    <row r="57" spans="2:36">
      <c r="B57" s="38">
        <v>38</v>
      </c>
      <c r="C57" s="77" t="e">
        <f t="shared" ca="1" si="12"/>
        <v>#N/A</v>
      </c>
      <c r="D57" s="78" t="e">
        <f ca="1">+IF(AND(B57&lt;$G$7),VLOOKUP($B$1,Inventory!$A$1:$BC$500,35,FALSE),IF(AND(B57=$G$7,pmt_timing="End"),VLOOKUP($B$1,Inventory!$A$1:$BC$500,35,FALSE),0))</f>
        <v>#N/A</v>
      </c>
      <c r="E57" s="78">
        <v>0</v>
      </c>
      <c r="F57" s="78">
        <v>0</v>
      </c>
      <c r="G57" s="78">
        <v>0</v>
      </c>
      <c r="H57" s="78">
        <v>0</v>
      </c>
      <c r="I57" s="78">
        <v>0</v>
      </c>
      <c r="J57" s="78">
        <v>0</v>
      </c>
      <c r="K57" s="78">
        <v>0</v>
      </c>
      <c r="L57" s="36" t="e">
        <f t="shared" ca="1" si="2"/>
        <v>#N/A</v>
      </c>
      <c r="M57" s="37" t="e">
        <f t="shared" ca="1" si="0"/>
        <v>#N/A</v>
      </c>
      <c r="N57" s="37" t="e">
        <f t="shared" ca="1" si="1"/>
        <v>#N/A</v>
      </c>
      <c r="P57" s="35" t="e">
        <f t="shared" ca="1" si="17"/>
        <v>#N/A</v>
      </c>
      <c r="Q57" s="59" t="e">
        <f t="shared" ca="1" si="3"/>
        <v>#N/A</v>
      </c>
      <c r="R57" s="44" t="e">
        <f t="shared" ca="1" si="13"/>
        <v>#N/A</v>
      </c>
      <c r="S57" s="37" t="e">
        <f ca="1">IF(P57="","",IF(P57="Total",SUM($S$19:S56),VLOOKUP($P57,$B$12:$L111,11,FALSE)))</f>
        <v>#N/A</v>
      </c>
      <c r="T57" s="44" t="e">
        <f ca="1">IF(payfreq="Annually",IF(P57="","",IF(P57="Total",SUM($T$19:T56),Adj_Rate*$R57)),IF(payfreq="Semiannually",IF(P57="","",IF(P57="Total",SUM($T$19:T56),Adj_Rate/2*$R57)),IF(payfreq="Quarterly",IF(P57="","",IF(P57="Total",SUM($T$19:T56),Adj_Rate/4*$R57)),IF(payfreq="Monthly",IF(P57="","",IF(P57="Total",SUM($T$19:T56),Adj_Rate/12*$R57)),""))))</f>
        <v>#N/A</v>
      </c>
      <c r="U57" s="37" t="e">
        <f t="shared" ca="1" si="14"/>
        <v>#N/A</v>
      </c>
      <c r="V57" s="44" t="e">
        <f t="shared" ca="1" si="15"/>
        <v>#N/A</v>
      </c>
      <c r="Z57" s="14">
        <f t="shared" si="35"/>
        <v>105374</v>
      </c>
      <c r="AA57" s="14">
        <f t="shared" si="36"/>
        <v>107199</v>
      </c>
      <c r="AB57">
        <f t="shared" si="39"/>
        <v>2193</v>
      </c>
      <c r="AC57" s="80" t="e">
        <f t="shared" ca="1" si="6"/>
        <v>#N/A</v>
      </c>
      <c r="AD57" s="80" t="e">
        <f t="shared" ca="1" si="7"/>
        <v>#N/A</v>
      </c>
      <c r="AF57" s="14">
        <f t="shared" si="22"/>
        <v>105374</v>
      </c>
      <c r="AG57" s="14">
        <f t="shared" si="21"/>
        <v>107199</v>
      </c>
      <c r="AH57">
        <f t="shared" si="40"/>
        <v>2193</v>
      </c>
      <c r="AI57" s="80" t="e">
        <f t="shared" ca="1" si="10"/>
        <v>#N/A</v>
      </c>
      <c r="AJ57" s="80" t="e">
        <f t="shared" ca="1" si="11"/>
        <v>#N/A</v>
      </c>
    </row>
    <row r="58" spans="2:36">
      <c r="B58" s="38">
        <v>39</v>
      </c>
      <c r="C58" s="77" t="e">
        <f t="shared" ca="1" si="12"/>
        <v>#N/A</v>
      </c>
      <c r="D58" s="78" t="e">
        <f ca="1">+IF(AND(B58&lt;$G$7),VLOOKUP($B$1,Inventory!$A$1:$BC$500,35,FALSE),IF(AND(B58=$G$7,pmt_timing="End"),VLOOKUP($B$1,Inventory!$A$1:$BC$500,35,FALSE),0))</f>
        <v>#N/A</v>
      </c>
      <c r="E58" s="78">
        <v>0</v>
      </c>
      <c r="F58" s="78">
        <v>0</v>
      </c>
      <c r="G58" s="78">
        <v>0</v>
      </c>
      <c r="H58" s="78">
        <v>0</v>
      </c>
      <c r="I58" s="78">
        <v>0</v>
      </c>
      <c r="J58" s="78">
        <v>0</v>
      </c>
      <c r="K58" s="78">
        <v>0</v>
      </c>
      <c r="L58" s="36" t="e">
        <f t="shared" ca="1" si="2"/>
        <v>#N/A</v>
      </c>
      <c r="M58" s="37" t="e">
        <f t="shared" ca="1" si="0"/>
        <v>#N/A</v>
      </c>
      <c r="N58" s="37" t="e">
        <f t="shared" ca="1" si="1"/>
        <v>#N/A</v>
      </c>
      <c r="P58" s="35" t="e">
        <f t="shared" ca="1" si="17"/>
        <v>#N/A</v>
      </c>
      <c r="Q58" s="59" t="e">
        <f t="shared" ca="1" si="3"/>
        <v>#N/A</v>
      </c>
      <c r="R58" s="44" t="e">
        <f t="shared" ca="1" si="13"/>
        <v>#N/A</v>
      </c>
      <c r="S58" s="37" t="e">
        <f ca="1">IF(P58="","",IF(P58="Total",SUM($S$19:S57),VLOOKUP($P58,$B$12:$L112,11,FALSE)))</f>
        <v>#N/A</v>
      </c>
      <c r="T58" s="44" t="e">
        <f ca="1">IF(payfreq="Annually",IF(P58="","",IF(P58="Total",SUM($T$19:T57),Adj_Rate*$R58)),IF(payfreq="Semiannually",IF(P58="","",IF(P58="Total",SUM($T$19:T57),Adj_Rate/2*$R58)),IF(payfreq="Quarterly",IF(P58="","",IF(P58="Total",SUM($T$19:T57),Adj_Rate/4*$R58)),IF(payfreq="Monthly",IF(P58="","",IF(P58="Total",SUM($T$19:T57),Adj_Rate/12*$R58)),""))))</f>
        <v>#N/A</v>
      </c>
      <c r="U58" s="37" t="e">
        <f t="shared" ca="1" si="14"/>
        <v>#N/A</v>
      </c>
      <c r="V58" s="44" t="e">
        <f t="shared" ca="1" si="15"/>
        <v>#N/A</v>
      </c>
      <c r="Z58" s="14">
        <f t="shared" si="35"/>
        <v>107200</v>
      </c>
      <c r="AA58" s="14">
        <f t="shared" si="36"/>
        <v>109025</v>
      </c>
      <c r="AB58">
        <f t="shared" si="39"/>
        <v>2198</v>
      </c>
      <c r="AC58" s="80" t="e">
        <f t="shared" ca="1" si="6"/>
        <v>#N/A</v>
      </c>
      <c r="AD58" s="80" t="e">
        <f t="shared" ca="1" si="7"/>
        <v>#N/A</v>
      </c>
      <c r="AF58" s="14">
        <f t="shared" si="22"/>
        <v>107200</v>
      </c>
      <c r="AG58" s="14">
        <f t="shared" si="21"/>
        <v>109025</v>
      </c>
      <c r="AH58">
        <f t="shared" si="40"/>
        <v>2198</v>
      </c>
      <c r="AI58" s="80" t="e">
        <f t="shared" ca="1" si="10"/>
        <v>#N/A</v>
      </c>
      <c r="AJ58" s="80" t="e">
        <f t="shared" ca="1" si="11"/>
        <v>#N/A</v>
      </c>
    </row>
    <row r="59" spans="2:36">
      <c r="B59" s="38">
        <v>40</v>
      </c>
      <c r="C59" s="77" t="e">
        <f t="shared" ca="1" si="12"/>
        <v>#N/A</v>
      </c>
      <c r="D59" s="78" t="e">
        <f ca="1">+IF(AND(B59&lt;$G$7),VLOOKUP($B$1,Inventory!$A$1:$BC$500,35,FALSE),IF(AND(B59=$G$7,pmt_timing="End"),VLOOKUP($B$1,Inventory!$A$1:$BC$500,35,FALSE),0))</f>
        <v>#N/A</v>
      </c>
      <c r="E59" s="78">
        <v>0</v>
      </c>
      <c r="F59" s="78">
        <v>0</v>
      </c>
      <c r="G59" s="78">
        <v>0</v>
      </c>
      <c r="H59" s="78">
        <v>0</v>
      </c>
      <c r="I59" s="78">
        <v>0</v>
      </c>
      <c r="J59" s="78">
        <v>0</v>
      </c>
      <c r="K59" s="78">
        <v>0</v>
      </c>
      <c r="L59" s="36" t="e">
        <f t="shared" ca="1" si="2"/>
        <v>#N/A</v>
      </c>
      <c r="M59" s="37" t="e">
        <f t="shared" ca="1" si="0"/>
        <v>#N/A</v>
      </c>
      <c r="N59" s="37" t="e">
        <f t="shared" ca="1" si="1"/>
        <v>#N/A</v>
      </c>
      <c r="P59" s="35" t="e">
        <f t="shared" ca="1" si="17"/>
        <v>#N/A</v>
      </c>
      <c r="Q59" s="59" t="e">
        <f t="shared" ca="1" si="3"/>
        <v>#N/A</v>
      </c>
      <c r="R59" s="44" t="e">
        <f t="shared" ca="1" si="13"/>
        <v>#N/A</v>
      </c>
      <c r="S59" s="37" t="e">
        <f ca="1">IF(P59="","",IF(P59="Total",SUM($S$19:S58),VLOOKUP($P59,$B$12:$L113,11,FALSE)))</f>
        <v>#N/A</v>
      </c>
      <c r="T59" s="44" t="e">
        <f ca="1">IF(payfreq="Annually",IF(P59="","",IF(P59="Total",SUM($T$19:T58),Adj_Rate*$R59)),IF(payfreq="Semiannually",IF(P59="","",IF(P59="Total",SUM($T$19:T58),Adj_Rate/2*$R59)),IF(payfreq="Quarterly",IF(P59="","",IF(P59="Total",SUM($T$19:T58),Adj_Rate/4*$R59)),IF(payfreq="Monthly",IF(P59="","",IF(P59="Total",SUM($T$19:T58),Adj_Rate/12*$R59)),""))))</f>
        <v>#N/A</v>
      </c>
      <c r="U59" s="37" t="e">
        <f t="shared" ca="1" si="14"/>
        <v>#N/A</v>
      </c>
      <c r="V59" s="44" t="e">
        <f t="shared" ca="1" si="15"/>
        <v>#N/A</v>
      </c>
      <c r="Z59" s="14">
        <f t="shared" si="35"/>
        <v>109026</v>
      </c>
      <c r="AA59" s="14">
        <f t="shared" si="36"/>
        <v>110850</v>
      </c>
      <c r="AB59">
        <f t="shared" si="39"/>
        <v>2203</v>
      </c>
      <c r="AC59" s="80" t="e">
        <f t="shared" ca="1" si="6"/>
        <v>#N/A</v>
      </c>
      <c r="AD59" s="80" t="e">
        <f t="shared" ca="1" si="7"/>
        <v>#N/A</v>
      </c>
      <c r="AF59" s="14">
        <f t="shared" si="22"/>
        <v>109026</v>
      </c>
      <c r="AG59" s="14">
        <f t="shared" si="21"/>
        <v>110850</v>
      </c>
      <c r="AH59">
        <f t="shared" si="40"/>
        <v>2203</v>
      </c>
      <c r="AI59" s="80" t="e">
        <f t="shared" ca="1" si="10"/>
        <v>#N/A</v>
      </c>
      <c r="AJ59" s="80" t="e">
        <f t="shared" ca="1" si="11"/>
        <v>#N/A</v>
      </c>
    </row>
    <row r="60" spans="2:36">
      <c r="B60" s="38">
        <v>41</v>
      </c>
      <c r="C60" s="77" t="e">
        <f t="shared" ca="1" si="12"/>
        <v>#N/A</v>
      </c>
      <c r="D60" s="78" t="e">
        <f ca="1">+IF(AND(B60&lt;$G$7),VLOOKUP($B$1,Inventory!$A$1:$BC$500,35,FALSE),IF(AND(B60=$G$7,pmt_timing="End"),VLOOKUP($B$1,Inventory!$A$1:$BC$500,35,FALSE),0))</f>
        <v>#N/A</v>
      </c>
      <c r="E60" s="78">
        <v>0</v>
      </c>
      <c r="F60" s="78">
        <v>0</v>
      </c>
      <c r="G60" s="78">
        <v>0</v>
      </c>
      <c r="H60" s="78">
        <v>0</v>
      </c>
      <c r="I60" s="78">
        <v>0</v>
      </c>
      <c r="J60" s="78">
        <v>0</v>
      </c>
      <c r="K60" s="78">
        <v>0</v>
      </c>
      <c r="L60" s="36" t="e">
        <f t="shared" ca="1" si="2"/>
        <v>#N/A</v>
      </c>
      <c r="M60" s="37" t="e">
        <f t="shared" ca="1" si="0"/>
        <v>#N/A</v>
      </c>
      <c r="N60" s="37" t="e">
        <f t="shared" ca="1" si="1"/>
        <v>#N/A</v>
      </c>
      <c r="P60" s="35" t="e">
        <f t="shared" ca="1" si="17"/>
        <v>#N/A</v>
      </c>
      <c r="Q60" s="59" t="e">
        <f t="shared" ca="1" si="3"/>
        <v>#N/A</v>
      </c>
      <c r="R60" s="44" t="e">
        <f t="shared" ca="1" si="13"/>
        <v>#N/A</v>
      </c>
      <c r="S60" s="37" t="e">
        <f ca="1">IF(P60="","",IF(P60="Total",SUM($S$19:S59),VLOOKUP($P60,$B$12:$L114,11,FALSE)))</f>
        <v>#N/A</v>
      </c>
      <c r="T60" s="44" t="e">
        <f ca="1">IF(payfreq="Annually",IF(P60="","",IF(P60="Total",SUM($T$19:T59),Adj_Rate*$R60)),IF(payfreq="Semiannually",IF(P60="","",IF(P60="Total",SUM($T$19:T59),Adj_Rate/2*$R60)),IF(payfreq="Quarterly",IF(P60="","",IF(P60="Total",SUM($T$19:T59),Adj_Rate/4*$R60)),IF(payfreq="Monthly",IF(P60="","",IF(P60="Total",SUM($T$19:T59),Adj_Rate/12*$R60)),""))))</f>
        <v>#N/A</v>
      </c>
      <c r="U60" s="37" t="e">
        <f t="shared" ca="1" si="14"/>
        <v>#N/A</v>
      </c>
      <c r="V60" s="44" t="e">
        <f t="shared" ca="1" si="15"/>
        <v>#N/A</v>
      </c>
      <c r="Z60" s="14">
        <f t="shared" si="35"/>
        <v>110851</v>
      </c>
      <c r="AA60" s="14">
        <f t="shared" si="36"/>
        <v>112677</v>
      </c>
      <c r="AB60">
        <f t="shared" si="39"/>
        <v>2208</v>
      </c>
      <c r="AC60" s="80" t="e">
        <f t="shared" ca="1" si="6"/>
        <v>#N/A</v>
      </c>
      <c r="AD60" s="80" t="e">
        <f t="shared" ca="1" si="7"/>
        <v>#N/A</v>
      </c>
      <c r="AF60" s="14">
        <f t="shared" si="22"/>
        <v>110851</v>
      </c>
      <c r="AG60" s="14">
        <f t="shared" si="21"/>
        <v>112677</v>
      </c>
      <c r="AH60">
        <f t="shared" si="40"/>
        <v>2208</v>
      </c>
      <c r="AI60" s="80" t="e">
        <f t="shared" ca="1" si="10"/>
        <v>#N/A</v>
      </c>
      <c r="AJ60" s="80" t="e">
        <f t="shared" ca="1" si="11"/>
        <v>#N/A</v>
      </c>
    </row>
    <row r="61" spans="2:36">
      <c r="B61" s="38">
        <v>42</v>
      </c>
      <c r="C61" s="77" t="e">
        <f t="shared" ca="1" si="12"/>
        <v>#N/A</v>
      </c>
      <c r="D61" s="78" t="e">
        <f ca="1">+IF(AND(B61&lt;$G$7),VLOOKUP($B$1,Inventory!$A$1:$BC$500,35,FALSE),IF(AND(B61=$G$7,pmt_timing="End"),VLOOKUP($B$1,Inventory!$A$1:$BC$500,35,FALSE),0))</f>
        <v>#N/A</v>
      </c>
      <c r="E61" s="78">
        <v>0</v>
      </c>
      <c r="F61" s="78">
        <v>0</v>
      </c>
      <c r="G61" s="78">
        <v>0</v>
      </c>
      <c r="H61" s="78">
        <v>0</v>
      </c>
      <c r="I61" s="78">
        <v>0</v>
      </c>
      <c r="J61" s="78">
        <v>0</v>
      </c>
      <c r="K61" s="78">
        <v>0</v>
      </c>
      <c r="L61" s="36" t="e">
        <f t="shared" ca="1" si="2"/>
        <v>#N/A</v>
      </c>
      <c r="M61" s="37" t="e">
        <f t="shared" ca="1" si="0"/>
        <v>#N/A</v>
      </c>
      <c r="N61" s="37" t="e">
        <f t="shared" ca="1" si="1"/>
        <v>#N/A</v>
      </c>
      <c r="P61" s="35" t="e">
        <f t="shared" ca="1" si="17"/>
        <v>#N/A</v>
      </c>
      <c r="Q61" s="59" t="e">
        <f t="shared" ca="1" si="3"/>
        <v>#N/A</v>
      </c>
      <c r="R61" s="44" t="e">
        <f t="shared" ca="1" si="13"/>
        <v>#N/A</v>
      </c>
      <c r="S61" s="37" t="e">
        <f ca="1">IF(P61="","",IF(P61="Total",SUM($S$19:S60),VLOOKUP($P61,$B$12:$L115,11,FALSE)))</f>
        <v>#N/A</v>
      </c>
      <c r="T61" s="44" t="e">
        <f ca="1">IF(payfreq="Annually",IF(P61="","",IF(P61="Total",SUM($T$19:T60),Adj_Rate*$R61)),IF(payfreq="Semiannually",IF(P61="","",IF(P61="Total",SUM($T$19:T60),Adj_Rate/2*$R61)),IF(payfreq="Quarterly",IF(P61="","",IF(P61="Total",SUM($T$19:T60),Adj_Rate/4*$R61)),IF(payfreq="Monthly",IF(P61="","",IF(P61="Total",SUM($T$19:T60),Adj_Rate/12*$R61)),""))))</f>
        <v>#N/A</v>
      </c>
      <c r="U61" s="37" t="e">
        <f t="shared" ca="1" si="14"/>
        <v>#N/A</v>
      </c>
      <c r="V61" s="44" t="e">
        <f t="shared" ca="1" si="15"/>
        <v>#N/A</v>
      </c>
      <c r="Z61" s="14">
        <f t="shared" si="35"/>
        <v>112678</v>
      </c>
      <c r="AA61" s="14">
        <f t="shared" si="36"/>
        <v>114503</v>
      </c>
      <c r="AB61">
        <f t="shared" si="39"/>
        <v>2213</v>
      </c>
      <c r="AC61" s="80" t="e">
        <f t="shared" ca="1" si="6"/>
        <v>#N/A</v>
      </c>
      <c r="AD61" s="80" t="e">
        <f t="shared" ca="1" si="7"/>
        <v>#N/A</v>
      </c>
      <c r="AF61" s="14">
        <f t="shared" si="22"/>
        <v>112678</v>
      </c>
      <c r="AG61" s="14">
        <f t="shared" si="21"/>
        <v>114503</v>
      </c>
      <c r="AH61">
        <f t="shared" si="40"/>
        <v>2213</v>
      </c>
      <c r="AI61" s="80" t="e">
        <f t="shared" ca="1" si="10"/>
        <v>#N/A</v>
      </c>
      <c r="AJ61" s="80" t="e">
        <f t="shared" ca="1" si="11"/>
        <v>#N/A</v>
      </c>
    </row>
    <row r="62" spans="2:36">
      <c r="B62" s="38">
        <v>43</v>
      </c>
      <c r="C62" s="77" t="e">
        <f t="shared" ca="1" si="12"/>
        <v>#N/A</v>
      </c>
      <c r="D62" s="78" t="e">
        <f ca="1">+IF(AND(B62&lt;$G$7),VLOOKUP($B$1,Inventory!$A$1:$BC$500,35,FALSE),IF(AND(B62=$G$7,pmt_timing="End"),VLOOKUP($B$1,Inventory!$A$1:$BC$500,35,FALSE),0))</f>
        <v>#N/A</v>
      </c>
      <c r="E62" s="78">
        <v>0</v>
      </c>
      <c r="F62" s="78">
        <v>0</v>
      </c>
      <c r="G62" s="78">
        <v>0</v>
      </c>
      <c r="H62" s="78">
        <v>0</v>
      </c>
      <c r="I62" s="78">
        <v>0</v>
      </c>
      <c r="J62" s="78">
        <v>0</v>
      </c>
      <c r="K62" s="78">
        <v>0</v>
      </c>
      <c r="L62" s="36" t="e">
        <f t="shared" ca="1" si="2"/>
        <v>#N/A</v>
      </c>
      <c r="M62" s="37" t="e">
        <f t="shared" ca="1" si="0"/>
        <v>#N/A</v>
      </c>
      <c r="N62" s="37" t="e">
        <f t="shared" ca="1" si="1"/>
        <v>#N/A</v>
      </c>
      <c r="P62" s="35" t="e">
        <f t="shared" ca="1" si="17"/>
        <v>#N/A</v>
      </c>
      <c r="Q62" s="59" t="e">
        <f t="shared" ca="1" si="3"/>
        <v>#N/A</v>
      </c>
      <c r="R62" s="44" t="e">
        <f t="shared" ca="1" si="13"/>
        <v>#N/A</v>
      </c>
      <c r="S62" s="37" t="e">
        <f ca="1">IF(P62="","",IF(P62="Total",SUM($S$19:S61),VLOOKUP($P62,$B$12:$L116,11,FALSE)))</f>
        <v>#N/A</v>
      </c>
      <c r="T62" s="44" t="e">
        <f ca="1">IF(payfreq="Annually",IF(P62="","",IF(P62="Total",SUM($T$19:T61),Adj_Rate*$R62)),IF(payfreq="Semiannually",IF(P62="","",IF(P62="Total",SUM($T$19:T61),Adj_Rate/2*$R62)),IF(payfreq="Quarterly",IF(P62="","",IF(P62="Total",SUM($T$19:T61),Adj_Rate/4*$R62)),IF(payfreq="Monthly",IF(P62="","",IF(P62="Total",SUM($T$19:T61),Adj_Rate/12*$R62)),""))))</f>
        <v>#N/A</v>
      </c>
      <c r="U62" s="37" t="e">
        <f t="shared" ca="1" si="14"/>
        <v>#N/A</v>
      </c>
      <c r="V62" s="44" t="e">
        <f t="shared" ca="1" si="15"/>
        <v>#N/A</v>
      </c>
      <c r="Z62" s="14">
        <f t="shared" si="35"/>
        <v>114504</v>
      </c>
      <c r="AA62" s="14">
        <f t="shared" si="36"/>
        <v>116329</v>
      </c>
      <c r="AB62">
        <f t="shared" si="39"/>
        <v>2218</v>
      </c>
      <c r="AC62" s="80" t="e">
        <f t="shared" ca="1" si="6"/>
        <v>#N/A</v>
      </c>
      <c r="AD62" s="80" t="e">
        <f t="shared" ca="1" si="7"/>
        <v>#N/A</v>
      </c>
      <c r="AF62" s="14">
        <f t="shared" si="22"/>
        <v>114504</v>
      </c>
      <c r="AG62" s="14">
        <f t="shared" si="21"/>
        <v>116329</v>
      </c>
      <c r="AH62">
        <f t="shared" si="40"/>
        <v>2218</v>
      </c>
      <c r="AI62" s="80" t="e">
        <f t="shared" ca="1" si="10"/>
        <v>#N/A</v>
      </c>
      <c r="AJ62" s="80" t="e">
        <f t="shared" ca="1" si="11"/>
        <v>#N/A</v>
      </c>
    </row>
    <row r="63" spans="2:36">
      <c r="B63" s="38">
        <v>44</v>
      </c>
      <c r="C63" s="77" t="e">
        <f t="shared" ca="1" si="12"/>
        <v>#N/A</v>
      </c>
      <c r="D63" s="78" t="e">
        <f ca="1">+IF(AND(B63&lt;$G$7),VLOOKUP($B$1,Inventory!$A$1:$BC$500,35,FALSE),IF(AND(B63=$G$7,pmt_timing="End"),VLOOKUP($B$1,Inventory!$A$1:$BC$500,35,FALSE),0))</f>
        <v>#N/A</v>
      </c>
      <c r="E63" s="78">
        <v>0</v>
      </c>
      <c r="F63" s="78">
        <v>0</v>
      </c>
      <c r="G63" s="78">
        <v>0</v>
      </c>
      <c r="H63" s="78">
        <v>0</v>
      </c>
      <c r="I63" s="78">
        <v>0</v>
      </c>
      <c r="J63" s="78">
        <v>0</v>
      </c>
      <c r="K63" s="78">
        <v>0</v>
      </c>
      <c r="L63" s="36" t="e">
        <f t="shared" ca="1" si="2"/>
        <v>#N/A</v>
      </c>
      <c r="M63" s="37" t="e">
        <f t="shared" ca="1" si="0"/>
        <v>#N/A</v>
      </c>
      <c r="N63" s="37" t="e">
        <f t="shared" ca="1" si="1"/>
        <v>#N/A</v>
      </c>
      <c r="P63" s="35" t="e">
        <f t="shared" ca="1" si="17"/>
        <v>#N/A</v>
      </c>
      <c r="Q63" s="59" t="e">
        <f t="shared" ca="1" si="3"/>
        <v>#N/A</v>
      </c>
      <c r="R63" s="44" t="e">
        <f t="shared" ca="1" si="13"/>
        <v>#N/A</v>
      </c>
      <c r="S63" s="37" t="e">
        <f ca="1">IF(P63="","",IF(P63="Total",SUM($S$19:S62),VLOOKUP($P63,$B$12:$L117,11,FALSE)))</f>
        <v>#N/A</v>
      </c>
      <c r="T63" s="44" t="e">
        <f ca="1">IF(payfreq="Annually",IF(P63="","",IF(P63="Total",SUM($T$19:T62),Adj_Rate*$R63)),IF(payfreq="Semiannually",IF(P63="","",IF(P63="Total",SUM($T$19:T62),Adj_Rate/2*$R63)),IF(payfreq="Quarterly",IF(P63="","",IF(P63="Total",SUM($T$19:T62),Adj_Rate/4*$R63)),IF(payfreq="Monthly",IF(P63="","",IF(P63="Total",SUM($T$19:T62),Adj_Rate/12*$R63)),""))))</f>
        <v>#N/A</v>
      </c>
      <c r="U63" s="37" t="e">
        <f t="shared" ca="1" si="14"/>
        <v>#N/A</v>
      </c>
      <c r="V63" s="44" t="e">
        <f t="shared" ca="1" si="15"/>
        <v>#N/A</v>
      </c>
      <c r="Z63" s="14">
        <f t="shared" si="35"/>
        <v>116330</v>
      </c>
      <c r="AA63" s="14">
        <f t="shared" si="36"/>
        <v>118155</v>
      </c>
      <c r="AB63">
        <f t="shared" si="39"/>
        <v>2223</v>
      </c>
      <c r="AC63" s="80" t="e">
        <f t="shared" ca="1" si="6"/>
        <v>#N/A</v>
      </c>
      <c r="AD63" s="80" t="e">
        <f t="shared" ca="1" si="7"/>
        <v>#N/A</v>
      </c>
      <c r="AF63" s="14">
        <f t="shared" si="22"/>
        <v>116330</v>
      </c>
      <c r="AG63" s="14">
        <f t="shared" si="21"/>
        <v>118155</v>
      </c>
      <c r="AH63">
        <f t="shared" si="40"/>
        <v>2223</v>
      </c>
      <c r="AI63" s="80" t="e">
        <f t="shared" ca="1" si="10"/>
        <v>#N/A</v>
      </c>
      <c r="AJ63" s="80" t="e">
        <f t="shared" ca="1" si="11"/>
        <v>#N/A</v>
      </c>
    </row>
    <row r="64" spans="2:36">
      <c r="B64" s="38">
        <v>45</v>
      </c>
      <c r="C64" s="77" t="e">
        <f t="shared" ca="1" si="12"/>
        <v>#N/A</v>
      </c>
      <c r="D64" s="78" t="e">
        <f ca="1">+IF(AND(B64&lt;$G$7),VLOOKUP($B$1,Inventory!$A$1:$BC$500,35,FALSE),IF(AND(B64=$G$7,pmt_timing="End"),VLOOKUP($B$1,Inventory!$A$1:$BC$500,35,FALSE),0))</f>
        <v>#N/A</v>
      </c>
      <c r="E64" s="78">
        <v>0</v>
      </c>
      <c r="F64" s="78">
        <v>0</v>
      </c>
      <c r="G64" s="78">
        <v>0</v>
      </c>
      <c r="H64" s="78">
        <v>0</v>
      </c>
      <c r="I64" s="78">
        <v>0</v>
      </c>
      <c r="J64" s="78">
        <v>0</v>
      </c>
      <c r="K64" s="78">
        <v>0</v>
      </c>
      <c r="L64" s="36" t="e">
        <f t="shared" ca="1" si="2"/>
        <v>#N/A</v>
      </c>
      <c r="M64" s="37" t="e">
        <f t="shared" ca="1" si="0"/>
        <v>#N/A</v>
      </c>
      <c r="N64" s="37" t="e">
        <f t="shared" ca="1" si="1"/>
        <v>#N/A</v>
      </c>
      <c r="P64" s="35" t="e">
        <f t="shared" ca="1" si="17"/>
        <v>#N/A</v>
      </c>
      <c r="Q64" s="59" t="e">
        <f t="shared" ca="1" si="3"/>
        <v>#N/A</v>
      </c>
      <c r="R64" s="44" t="e">
        <f t="shared" ca="1" si="13"/>
        <v>#N/A</v>
      </c>
      <c r="S64" s="37" t="e">
        <f ca="1">IF(P64="","",IF(P64="Total",SUM($S$19:S63),VLOOKUP($P64,$B$12:$L118,11,FALSE)))</f>
        <v>#N/A</v>
      </c>
      <c r="T64" s="44" t="e">
        <f ca="1">IF(payfreq="Annually",IF(P64="","",IF(P64="Total",SUM($T$19:T63),Adj_Rate*$R64)),IF(payfreq="Semiannually",IF(P64="","",IF(P64="Total",SUM($T$19:T63),Adj_Rate/2*$R64)),IF(payfreq="Quarterly",IF(P64="","",IF(P64="Total",SUM($T$19:T63),Adj_Rate/4*$R64)),IF(payfreq="Monthly",IF(P64="","",IF(P64="Total",SUM($T$19:T63),Adj_Rate/12*$R64)),""))))</f>
        <v>#N/A</v>
      </c>
      <c r="U64" s="37" t="e">
        <f t="shared" ca="1" si="14"/>
        <v>#N/A</v>
      </c>
      <c r="V64" s="44" t="e">
        <f t="shared" ca="1" si="15"/>
        <v>#N/A</v>
      </c>
      <c r="Z64" s="14">
        <f t="shared" si="35"/>
        <v>118156</v>
      </c>
      <c r="AA64" s="14">
        <f t="shared" si="36"/>
        <v>119982</v>
      </c>
      <c r="AB64">
        <f t="shared" si="39"/>
        <v>2228</v>
      </c>
      <c r="AC64" s="80" t="e">
        <f t="shared" ca="1" si="6"/>
        <v>#N/A</v>
      </c>
      <c r="AD64" s="80" t="e">
        <f t="shared" ca="1" si="7"/>
        <v>#N/A</v>
      </c>
      <c r="AF64" s="14">
        <f t="shared" si="22"/>
        <v>118156</v>
      </c>
      <c r="AG64" s="14">
        <f t="shared" si="21"/>
        <v>119982</v>
      </c>
      <c r="AH64">
        <f t="shared" si="40"/>
        <v>2228</v>
      </c>
      <c r="AI64" s="80" t="e">
        <f t="shared" ca="1" si="10"/>
        <v>#N/A</v>
      </c>
      <c r="AJ64" s="80" t="e">
        <f t="shared" ca="1" si="11"/>
        <v>#N/A</v>
      </c>
    </row>
    <row r="65" spans="2:36">
      <c r="B65" s="38">
        <v>46</v>
      </c>
      <c r="C65" s="77" t="e">
        <f t="shared" ca="1" si="12"/>
        <v>#N/A</v>
      </c>
      <c r="D65" s="78" t="e">
        <f ca="1">+IF(AND(B65&lt;$G$7),VLOOKUP($B$1,Inventory!$A$1:$BC$500,35,FALSE),IF(AND(B65=$G$7,pmt_timing="End"),VLOOKUP($B$1,Inventory!$A$1:$BC$500,35,FALSE),0))</f>
        <v>#N/A</v>
      </c>
      <c r="E65" s="78">
        <v>0</v>
      </c>
      <c r="F65" s="78">
        <v>0</v>
      </c>
      <c r="G65" s="78">
        <v>0</v>
      </c>
      <c r="H65" s="78">
        <v>0</v>
      </c>
      <c r="I65" s="78">
        <v>0</v>
      </c>
      <c r="J65" s="78">
        <v>0</v>
      </c>
      <c r="K65" s="78">
        <v>0</v>
      </c>
      <c r="L65" s="36" t="e">
        <f t="shared" ca="1" si="2"/>
        <v>#N/A</v>
      </c>
      <c r="M65" s="37" t="e">
        <f t="shared" ca="1" si="0"/>
        <v>#N/A</v>
      </c>
      <c r="N65" s="37" t="e">
        <f t="shared" ca="1" si="1"/>
        <v>#N/A</v>
      </c>
      <c r="P65" s="35" t="e">
        <f t="shared" ca="1" si="17"/>
        <v>#N/A</v>
      </c>
      <c r="Q65" s="59" t="e">
        <f t="shared" ca="1" si="3"/>
        <v>#N/A</v>
      </c>
      <c r="R65" s="44" t="e">
        <f t="shared" ca="1" si="13"/>
        <v>#N/A</v>
      </c>
      <c r="S65" s="37" t="e">
        <f ca="1">IF(P65="","",IF(P65="Total",SUM($S$19:S64),VLOOKUP($P65,$B$12:$L119,11,FALSE)))</f>
        <v>#N/A</v>
      </c>
      <c r="T65" s="44" t="e">
        <f ca="1">IF(payfreq="Annually",IF(P65="","",IF(P65="Total",SUM($T$19:T64),Adj_Rate*$R65)),IF(payfreq="Semiannually",IF(P65="","",IF(P65="Total",SUM($T$19:T64),Adj_Rate/2*$R65)),IF(payfreq="Quarterly",IF(P65="","",IF(P65="Total",SUM($T$19:T64),Adj_Rate/4*$R65)),IF(payfreq="Monthly",IF(P65="","",IF(P65="Total",SUM($T$19:T64),Adj_Rate/12*$R65)),""))))</f>
        <v>#N/A</v>
      </c>
      <c r="U65" s="37" t="e">
        <f t="shared" ca="1" si="14"/>
        <v>#N/A</v>
      </c>
      <c r="V65" s="44" t="e">
        <f t="shared" ca="1" si="15"/>
        <v>#N/A</v>
      </c>
      <c r="Z65" s="14">
        <f t="shared" si="35"/>
        <v>119983</v>
      </c>
      <c r="AA65" s="14">
        <f t="shared" si="36"/>
        <v>121808</v>
      </c>
      <c r="AB65">
        <f t="shared" ref="AB65" si="41">+YEAR(AA65)</f>
        <v>2233</v>
      </c>
      <c r="AC65" s="80" t="e">
        <f t="shared" ca="1" si="6"/>
        <v>#N/A</v>
      </c>
      <c r="AD65" s="80" t="e">
        <f t="shared" ca="1" si="7"/>
        <v>#N/A</v>
      </c>
      <c r="AF65" s="14">
        <f t="shared" si="22"/>
        <v>119983</v>
      </c>
      <c r="AG65" s="14">
        <f t="shared" si="21"/>
        <v>121808</v>
      </c>
      <c r="AH65">
        <f t="shared" ref="AH65" si="42">+YEAR(AG65)</f>
        <v>2233</v>
      </c>
      <c r="AI65" s="80" t="e">
        <f t="shared" ca="1" si="10"/>
        <v>#N/A</v>
      </c>
      <c r="AJ65" s="80" t="e">
        <f t="shared" ca="1" si="11"/>
        <v>#N/A</v>
      </c>
    </row>
    <row r="66" spans="2:36">
      <c r="B66" s="38">
        <v>47</v>
      </c>
      <c r="C66" s="77" t="e">
        <f t="shared" ca="1" si="12"/>
        <v>#N/A</v>
      </c>
      <c r="D66" s="78" t="e">
        <f ca="1">+IF(AND(B66&lt;$G$7),VLOOKUP($B$1,Inventory!$A$1:$BC$500,35,FALSE),IF(AND(B66=$G$7,pmt_timing="End"),VLOOKUP($B$1,Inventory!$A$1:$BC$500,35,FALSE),0))</f>
        <v>#N/A</v>
      </c>
      <c r="E66" s="78">
        <v>0</v>
      </c>
      <c r="F66" s="78">
        <v>0</v>
      </c>
      <c r="G66" s="78">
        <v>0</v>
      </c>
      <c r="H66" s="78">
        <v>0</v>
      </c>
      <c r="I66" s="78">
        <v>0</v>
      </c>
      <c r="J66" s="78">
        <v>0</v>
      </c>
      <c r="K66" s="78">
        <v>0</v>
      </c>
      <c r="L66" s="36" t="e">
        <f t="shared" ca="1" si="2"/>
        <v>#N/A</v>
      </c>
      <c r="M66" s="37" t="e">
        <f t="shared" ca="1" si="0"/>
        <v>#N/A</v>
      </c>
      <c r="N66" s="37" t="e">
        <f t="shared" ca="1" si="1"/>
        <v>#N/A</v>
      </c>
      <c r="P66" s="35" t="e">
        <f t="shared" ca="1" si="17"/>
        <v>#N/A</v>
      </c>
      <c r="Q66" s="59" t="e">
        <f t="shared" ca="1" si="3"/>
        <v>#N/A</v>
      </c>
      <c r="R66" s="44" t="e">
        <f t="shared" ca="1" si="13"/>
        <v>#N/A</v>
      </c>
      <c r="S66" s="37" t="e">
        <f ca="1">IF(P66="","",IF(P66="Total",SUM($S$19:S65),VLOOKUP($P66,$B$12:$L120,11,FALSE)))</f>
        <v>#N/A</v>
      </c>
      <c r="T66" s="44" t="e">
        <f ca="1">IF(payfreq="Annually",IF(P66="","",IF(P66="Total",SUM($T$19:T65),Adj_Rate*$R66)),IF(payfreq="Semiannually",IF(P66="","",IF(P66="Total",SUM($T$19:T65),Adj_Rate/2*$R66)),IF(payfreq="Quarterly",IF(P66="","",IF(P66="Total",SUM($T$19:T65),Adj_Rate/4*$R66)),IF(payfreq="Monthly",IF(P66="","",IF(P66="Total",SUM($T$19:T65),Adj_Rate/12*$R66)),""))))</f>
        <v>#N/A</v>
      </c>
      <c r="U66" s="37" t="e">
        <f t="shared" ca="1" si="14"/>
        <v>#N/A</v>
      </c>
      <c r="V66" s="44" t="e">
        <f t="shared" ca="1" si="15"/>
        <v>#N/A</v>
      </c>
      <c r="Z66" s="14"/>
      <c r="AA66" s="14"/>
      <c r="AC66" s="80"/>
      <c r="AD66" s="80"/>
      <c r="AF66" s="14"/>
      <c r="AG66" s="14"/>
      <c r="AI66" s="80"/>
      <c r="AJ66" s="80"/>
    </row>
    <row r="67" spans="2:36">
      <c r="B67" s="38">
        <v>48</v>
      </c>
      <c r="C67" s="77" t="e">
        <f t="shared" ca="1" si="12"/>
        <v>#N/A</v>
      </c>
      <c r="D67" s="78" t="e">
        <f ca="1">+IF(AND(B67&lt;$G$7),VLOOKUP($B$1,Inventory!$A$1:$BC$500,35,FALSE),IF(AND(B67=$G$7,pmt_timing="End"),VLOOKUP($B$1,Inventory!$A$1:$BC$500,35,FALSE),0))</f>
        <v>#N/A</v>
      </c>
      <c r="E67" s="78">
        <v>0</v>
      </c>
      <c r="F67" s="78">
        <v>0</v>
      </c>
      <c r="G67" s="78">
        <v>0</v>
      </c>
      <c r="H67" s="78">
        <v>0</v>
      </c>
      <c r="I67" s="78">
        <v>0</v>
      </c>
      <c r="J67" s="78">
        <v>0</v>
      </c>
      <c r="K67" s="78">
        <v>0</v>
      </c>
      <c r="L67" s="36" t="e">
        <f t="shared" ca="1" si="2"/>
        <v>#N/A</v>
      </c>
      <c r="M67" s="37" t="e">
        <f t="shared" ca="1" si="0"/>
        <v>#N/A</v>
      </c>
      <c r="N67" s="37" t="e">
        <f t="shared" ca="1" si="1"/>
        <v>#N/A</v>
      </c>
      <c r="P67" s="35" t="e">
        <f t="shared" ca="1" si="17"/>
        <v>#N/A</v>
      </c>
      <c r="Q67" s="59" t="e">
        <f t="shared" ca="1" si="3"/>
        <v>#N/A</v>
      </c>
      <c r="R67" s="44" t="e">
        <f t="shared" ca="1" si="13"/>
        <v>#N/A</v>
      </c>
      <c r="S67" s="37" t="e">
        <f ca="1">IF(P67="","",IF(P67="Total",SUM($S$19:S66),VLOOKUP($P67,$B$12:$L121,11,FALSE)))</f>
        <v>#N/A</v>
      </c>
      <c r="T67" s="44" t="e">
        <f ca="1">IF(payfreq="Annually",IF(P67="","",IF(P67="Total",SUM($T$19:T66),Adj_Rate*$R67)),IF(payfreq="Semiannually",IF(P67="","",IF(P67="Total",SUM($T$19:T66),Adj_Rate/2*$R67)),IF(payfreq="Quarterly",IF(P67="","",IF(P67="Total",SUM($T$19:T66),Adj_Rate/4*$R67)),IF(payfreq="Monthly",IF(P67="","",IF(P67="Total",SUM($T$19:T66),Adj_Rate/12*$R67)),""))))</f>
        <v>#N/A</v>
      </c>
      <c r="U67" s="37" t="e">
        <f t="shared" ca="1" si="14"/>
        <v>#N/A</v>
      </c>
      <c r="V67" s="44" t="e">
        <f t="shared" ca="1" si="15"/>
        <v>#N/A</v>
      </c>
      <c r="Z67" s="14"/>
      <c r="AA67" s="14"/>
      <c r="AC67" s="80"/>
      <c r="AD67" s="80"/>
      <c r="AF67" s="14"/>
      <c r="AG67" s="14"/>
      <c r="AI67" s="80"/>
      <c r="AJ67" s="80"/>
    </row>
    <row r="68" spans="2:36">
      <c r="B68" s="38">
        <v>49</v>
      </c>
      <c r="C68" s="77" t="e">
        <f t="shared" ca="1" si="12"/>
        <v>#N/A</v>
      </c>
      <c r="D68" s="78" t="e">
        <f ca="1">+IF(AND(B68&lt;$G$7),VLOOKUP($B$1,Inventory!$A$1:$BC$500,35,FALSE),IF(AND(B68=$G$7,pmt_timing="End"),VLOOKUP($B$1,Inventory!$A$1:$BC$500,35,FALSE),0))</f>
        <v>#N/A</v>
      </c>
      <c r="E68" s="78">
        <v>0</v>
      </c>
      <c r="F68" s="78">
        <v>0</v>
      </c>
      <c r="G68" s="78">
        <v>0</v>
      </c>
      <c r="H68" s="78">
        <v>0</v>
      </c>
      <c r="I68" s="78">
        <v>0</v>
      </c>
      <c r="J68" s="78">
        <v>0</v>
      </c>
      <c r="K68" s="78">
        <v>0</v>
      </c>
      <c r="L68" s="36" t="e">
        <f t="shared" ca="1" si="2"/>
        <v>#N/A</v>
      </c>
      <c r="M68" s="37" t="e">
        <f t="shared" ca="1" si="0"/>
        <v>#N/A</v>
      </c>
      <c r="N68" s="37" t="e">
        <f t="shared" ca="1" si="1"/>
        <v>#N/A</v>
      </c>
      <c r="P68" s="35" t="e">
        <f t="shared" ca="1" si="17"/>
        <v>#N/A</v>
      </c>
      <c r="Q68" s="59" t="e">
        <f t="shared" ca="1" si="3"/>
        <v>#N/A</v>
      </c>
      <c r="R68" s="44" t="e">
        <f t="shared" ca="1" si="13"/>
        <v>#N/A</v>
      </c>
      <c r="S68" s="37" t="e">
        <f ca="1">IF(P68="","",IF(P68="Total",SUM($S$19:S67),VLOOKUP($P68,$B$12:$L122,11,FALSE)))</f>
        <v>#N/A</v>
      </c>
      <c r="T68" s="44" t="e">
        <f ca="1">IF(payfreq="Annually",IF(P68="","",IF(P68="Total",SUM($T$19:T67),Adj_Rate*$R68)),IF(payfreq="Semiannually",IF(P68="","",IF(P68="Total",SUM($T$19:T67),Adj_Rate/2*$R68)),IF(payfreq="Quarterly",IF(P68="","",IF(P68="Total",SUM($T$19:T67),Adj_Rate/4*$R68)),IF(payfreq="Monthly",IF(P68="","",IF(P68="Total",SUM($T$19:T67),Adj_Rate/12*$R68)),""))))</f>
        <v>#N/A</v>
      </c>
      <c r="U68" s="37" t="e">
        <f t="shared" ca="1" si="14"/>
        <v>#N/A</v>
      </c>
      <c r="V68" s="44" t="e">
        <f t="shared" ca="1" si="15"/>
        <v>#N/A</v>
      </c>
      <c r="Z68" s="14"/>
      <c r="AA68" s="14"/>
      <c r="AC68" s="80"/>
      <c r="AD68" s="80"/>
      <c r="AF68" s="14"/>
      <c r="AG68" s="14"/>
      <c r="AI68" s="80"/>
      <c r="AJ68" s="80"/>
    </row>
    <row r="69" spans="2:36">
      <c r="B69" s="38">
        <v>50</v>
      </c>
      <c r="C69" s="77" t="e">
        <f t="shared" ca="1" si="12"/>
        <v>#N/A</v>
      </c>
      <c r="D69" s="78" t="e">
        <f ca="1">+IF(AND(B69&lt;$G$7),VLOOKUP($B$1,Inventory!$A$1:$BC$500,35,FALSE),IF(AND(B69=$G$7,pmt_timing="End"),VLOOKUP($B$1,Inventory!$A$1:$BC$500,35,FALSE),0))</f>
        <v>#N/A</v>
      </c>
      <c r="E69" s="78">
        <v>0</v>
      </c>
      <c r="F69" s="78">
        <v>0</v>
      </c>
      <c r="G69" s="78">
        <v>0</v>
      </c>
      <c r="H69" s="78">
        <v>0</v>
      </c>
      <c r="I69" s="78">
        <v>0</v>
      </c>
      <c r="J69" s="78">
        <v>0</v>
      </c>
      <c r="K69" s="78">
        <v>0</v>
      </c>
      <c r="L69" s="36" t="e">
        <f t="shared" ca="1" si="2"/>
        <v>#N/A</v>
      </c>
      <c r="M69" s="37" t="e">
        <f t="shared" ca="1" si="0"/>
        <v>#N/A</v>
      </c>
      <c r="N69" s="37" t="e">
        <f t="shared" ca="1" si="1"/>
        <v>#N/A</v>
      </c>
      <c r="P69" s="35" t="e">
        <f t="shared" ca="1" si="17"/>
        <v>#N/A</v>
      </c>
      <c r="Q69" s="59" t="e">
        <f t="shared" ca="1" si="3"/>
        <v>#N/A</v>
      </c>
      <c r="R69" s="44" t="e">
        <f t="shared" ca="1" si="13"/>
        <v>#N/A</v>
      </c>
      <c r="S69" s="37" t="e">
        <f ca="1">IF(P69="","",IF(P69="Total",SUM($S$19:S68),VLOOKUP($P69,$B$12:$L123,11,FALSE)))</f>
        <v>#N/A</v>
      </c>
      <c r="T69" s="44" t="e">
        <f ca="1">IF(payfreq="Annually",IF(P69="","",IF(P69="Total",SUM($T$19:T68),Adj_Rate*$R69)),IF(payfreq="Semiannually",IF(P69="","",IF(P69="Total",SUM($T$19:T68),Adj_Rate/2*$R69)),IF(payfreq="Quarterly",IF(P69="","",IF(P69="Total",SUM($T$19:T68),Adj_Rate/4*$R69)),IF(payfreq="Monthly",IF(P69="","",IF(P69="Total",SUM($T$19:T68),Adj_Rate/12*$R69)),""))))</f>
        <v>#N/A</v>
      </c>
      <c r="U69" s="37" t="e">
        <f t="shared" ca="1" si="14"/>
        <v>#N/A</v>
      </c>
      <c r="V69" s="44" t="e">
        <f t="shared" ca="1" si="15"/>
        <v>#N/A</v>
      </c>
    </row>
    <row r="70" spans="2:36">
      <c r="B70" s="38">
        <v>51</v>
      </c>
      <c r="C70" s="77" t="e">
        <f t="shared" ca="1" si="12"/>
        <v>#N/A</v>
      </c>
      <c r="D70" s="78" t="e">
        <f ca="1">+IF(AND(B70&lt;$G$7),VLOOKUP($B$1,Inventory!$A$1:$BC$500,35,FALSE),IF(AND(B70=$G$7,pmt_timing="End"),VLOOKUP($B$1,Inventory!$A$1:$BC$500,35,FALSE),0))</f>
        <v>#N/A</v>
      </c>
      <c r="E70" s="78">
        <v>0</v>
      </c>
      <c r="F70" s="78">
        <v>0</v>
      </c>
      <c r="G70" s="78">
        <v>0</v>
      </c>
      <c r="H70" s="78">
        <v>0</v>
      </c>
      <c r="I70" s="78">
        <v>0</v>
      </c>
      <c r="J70" s="78">
        <v>0</v>
      </c>
      <c r="K70" s="78">
        <v>0</v>
      </c>
      <c r="L70" s="36" t="e">
        <f t="shared" ca="1" si="2"/>
        <v>#N/A</v>
      </c>
      <c r="M70" s="37" t="e">
        <f t="shared" ca="1" si="0"/>
        <v>#N/A</v>
      </c>
      <c r="N70" s="37" t="e">
        <f t="shared" ca="1" si="1"/>
        <v>#N/A</v>
      </c>
      <c r="P70" s="35" t="e">
        <f t="shared" ca="1" si="17"/>
        <v>#N/A</v>
      </c>
      <c r="Q70" s="59" t="e">
        <f t="shared" ca="1" si="3"/>
        <v>#N/A</v>
      </c>
      <c r="R70" s="44" t="e">
        <f t="shared" ca="1" si="13"/>
        <v>#N/A</v>
      </c>
      <c r="S70" s="37" t="e">
        <f ca="1">IF(P70="","",IF(P70="Total",SUM($S$19:S69),VLOOKUP($P70,$B$12:$L124,11,FALSE)))</f>
        <v>#N/A</v>
      </c>
      <c r="T70" s="44" t="e">
        <f ca="1">IF(payfreq="Annually",IF(P70="","",IF(P70="Total",SUM($T$19:T69),Adj_Rate*$R70)),IF(payfreq="Semiannually",IF(P70="","",IF(P70="Total",SUM($T$19:T69),Adj_Rate/2*$R70)),IF(payfreq="Quarterly",IF(P70="","",IF(P70="Total",SUM($T$19:T69),Adj_Rate/4*$R70)),IF(payfreq="Monthly",IF(P70="","",IF(P70="Total",SUM($T$19:T69),Adj_Rate/12*$R70)),""))))</f>
        <v>#N/A</v>
      </c>
      <c r="U70" s="37" t="e">
        <f t="shared" ca="1" si="14"/>
        <v>#N/A</v>
      </c>
      <c r="V70" s="44" t="e">
        <f t="shared" ca="1" si="15"/>
        <v>#N/A</v>
      </c>
    </row>
    <row r="71" spans="2:36">
      <c r="B71" s="38">
        <v>52</v>
      </c>
      <c r="C71" s="77" t="e">
        <f t="shared" ca="1" si="12"/>
        <v>#N/A</v>
      </c>
      <c r="D71" s="78" t="e">
        <f ca="1">+IF(AND(B71&lt;$G$7),VLOOKUP($B$1,Inventory!$A$1:$BC$500,35,FALSE),IF(AND(B71=$G$7,pmt_timing="End"),VLOOKUP($B$1,Inventory!$A$1:$BC$500,35,FALSE),0))</f>
        <v>#N/A</v>
      </c>
      <c r="E71" s="78">
        <v>0</v>
      </c>
      <c r="F71" s="78">
        <v>0</v>
      </c>
      <c r="G71" s="78">
        <v>0</v>
      </c>
      <c r="H71" s="78">
        <v>0</v>
      </c>
      <c r="I71" s="78">
        <v>0</v>
      </c>
      <c r="J71" s="78">
        <v>0</v>
      </c>
      <c r="K71" s="78">
        <v>0</v>
      </c>
      <c r="L71" s="36" t="e">
        <f t="shared" ca="1" si="2"/>
        <v>#N/A</v>
      </c>
      <c r="M71" s="37" t="e">
        <f t="shared" ca="1" si="0"/>
        <v>#N/A</v>
      </c>
      <c r="N71" s="37" t="e">
        <f t="shared" ca="1" si="1"/>
        <v>#N/A</v>
      </c>
      <c r="P71" s="35" t="e">
        <f t="shared" ca="1" si="17"/>
        <v>#N/A</v>
      </c>
      <c r="Q71" s="59" t="e">
        <f t="shared" ca="1" si="3"/>
        <v>#N/A</v>
      </c>
      <c r="R71" s="44" t="e">
        <f t="shared" ca="1" si="13"/>
        <v>#N/A</v>
      </c>
      <c r="S71" s="37" t="e">
        <f ca="1">IF(P71="","",IF(P71="Total",SUM($S$19:S70),VLOOKUP($P71,$B$12:$L125,11,FALSE)))</f>
        <v>#N/A</v>
      </c>
      <c r="T71" s="44" t="e">
        <f ca="1">IF(payfreq="Annually",IF(P71="","",IF(P71="Total",SUM($T$19:T70),Adj_Rate*$R71)),IF(payfreq="Semiannually",IF(P71="","",IF(P71="Total",SUM($T$19:T70),Adj_Rate/2*$R71)),IF(payfreq="Quarterly",IF(P71="","",IF(P71="Total",SUM($T$19:T70),Adj_Rate/4*$R71)),IF(payfreq="Monthly",IF(P71="","",IF(P71="Total",SUM($T$19:T70),Adj_Rate/12*$R71)),""))))</f>
        <v>#N/A</v>
      </c>
      <c r="U71" s="37" t="e">
        <f t="shared" ca="1" si="14"/>
        <v>#N/A</v>
      </c>
      <c r="V71" s="44" t="e">
        <f t="shared" ca="1" si="15"/>
        <v>#N/A</v>
      </c>
    </row>
    <row r="72" spans="2:36">
      <c r="B72" s="38">
        <v>53</v>
      </c>
      <c r="C72" s="77" t="e">
        <f t="shared" ca="1" si="12"/>
        <v>#N/A</v>
      </c>
      <c r="D72" s="78" t="e">
        <f ca="1">+IF(AND(B72&lt;$G$7),VLOOKUP($B$1,Inventory!$A$1:$BC$500,35,FALSE),IF(AND(B72=$G$7,pmt_timing="End"),VLOOKUP($B$1,Inventory!$A$1:$BC$500,35,FALSE),0))</f>
        <v>#N/A</v>
      </c>
      <c r="E72" s="78">
        <v>0</v>
      </c>
      <c r="F72" s="78">
        <v>0</v>
      </c>
      <c r="G72" s="78">
        <v>0</v>
      </c>
      <c r="H72" s="78">
        <v>0</v>
      </c>
      <c r="I72" s="78">
        <v>0</v>
      </c>
      <c r="J72" s="78">
        <v>0</v>
      </c>
      <c r="K72" s="78">
        <v>0</v>
      </c>
      <c r="L72" s="36" t="e">
        <f t="shared" ca="1" si="2"/>
        <v>#N/A</v>
      </c>
      <c r="M72" s="37" t="e">
        <f t="shared" ca="1" si="0"/>
        <v>#N/A</v>
      </c>
      <c r="N72" s="37" t="e">
        <f t="shared" ca="1" si="1"/>
        <v>#N/A</v>
      </c>
      <c r="P72" s="35" t="e">
        <f t="shared" ca="1" si="17"/>
        <v>#N/A</v>
      </c>
      <c r="Q72" s="59" t="e">
        <f t="shared" ca="1" si="3"/>
        <v>#N/A</v>
      </c>
      <c r="R72" s="44" t="e">
        <f t="shared" ca="1" si="13"/>
        <v>#N/A</v>
      </c>
      <c r="S72" s="37" t="e">
        <f ca="1">IF(P72="","",IF(P72="Total",SUM($S$19:S71),VLOOKUP($P72,$B$12:$L126,11,FALSE)))</f>
        <v>#N/A</v>
      </c>
      <c r="T72" s="44" t="e">
        <f ca="1">IF(payfreq="Annually",IF(P72="","",IF(P72="Total",SUM($T$19:T71),Adj_Rate*$R72)),IF(payfreq="Semiannually",IF(P72="","",IF(P72="Total",SUM($T$19:T71),Adj_Rate/2*$R72)),IF(payfreq="Quarterly",IF(P72="","",IF(P72="Total",SUM($T$19:T71),Adj_Rate/4*$R72)),IF(payfreq="Monthly",IF(P72="","",IF(P72="Total",SUM($T$19:T71),Adj_Rate/12*$R72)),""))))</f>
        <v>#N/A</v>
      </c>
      <c r="U72" s="37" t="e">
        <f t="shared" ca="1" si="14"/>
        <v>#N/A</v>
      </c>
      <c r="V72" s="44" t="e">
        <f t="shared" ca="1" si="15"/>
        <v>#N/A</v>
      </c>
    </row>
    <row r="73" spans="2:36">
      <c r="B73" s="38">
        <v>54</v>
      </c>
      <c r="C73" s="77" t="e">
        <f t="shared" ca="1" si="12"/>
        <v>#N/A</v>
      </c>
      <c r="D73" s="78" t="e">
        <f ca="1">+IF(AND(B73&lt;$G$7),VLOOKUP($B$1,Inventory!$A$1:$BC$500,35,FALSE),IF(AND(B73=$G$7,pmt_timing="End"),VLOOKUP($B$1,Inventory!$A$1:$BC$500,35,FALSE),0))</f>
        <v>#N/A</v>
      </c>
      <c r="E73" s="78">
        <v>0</v>
      </c>
      <c r="F73" s="78">
        <v>0</v>
      </c>
      <c r="G73" s="78">
        <v>0</v>
      </c>
      <c r="H73" s="78">
        <v>0</v>
      </c>
      <c r="I73" s="78">
        <v>0</v>
      </c>
      <c r="J73" s="78">
        <v>0</v>
      </c>
      <c r="K73" s="78">
        <v>0</v>
      </c>
      <c r="L73" s="36" t="e">
        <f t="shared" ca="1" si="2"/>
        <v>#N/A</v>
      </c>
      <c r="M73" s="37" t="e">
        <f t="shared" ca="1" si="0"/>
        <v>#N/A</v>
      </c>
      <c r="N73" s="37" t="e">
        <f t="shared" ca="1" si="1"/>
        <v>#N/A</v>
      </c>
      <c r="P73" s="35" t="e">
        <f t="shared" ca="1" si="17"/>
        <v>#N/A</v>
      </c>
      <c r="Q73" s="59" t="e">
        <f t="shared" ca="1" si="3"/>
        <v>#N/A</v>
      </c>
      <c r="R73" s="44" t="e">
        <f t="shared" ca="1" si="13"/>
        <v>#N/A</v>
      </c>
      <c r="S73" s="37" t="e">
        <f ca="1">IF(P73="","",IF(P73="Total",SUM($S$19:S72),VLOOKUP($P73,$B$12:$L127,11,FALSE)))</f>
        <v>#N/A</v>
      </c>
      <c r="T73" s="44" t="e">
        <f ca="1">IF(payfreq="Annually",IF(P73="","",IF(P73="Total",SUM($T$19:T72),Adj_Rate*$R73)),IF(payfreq="Semiannually",IF(P73="","",IF(P73="Total",SUM($T$19:T72),Adj_Rate/2*$R73)),IF(payfreq="Quarterly",IF(P73="","",IF(P73="Total",SUM($T$19:T72),Adj_Rate/4*$R73)),IF(payfreq="Monthly",IF(P73="","",IF(P73="Total",SUM($T$19:T72),Adj_Rate/12*$R73)),""))))</f>
        <v>#N/A</v>
      </c>
      <c r="U73" s="37" t="e">
        <f t="shared" ca="1" si="14"/>
        <v>#N/A</v>
      </c>
      <c r="V73" s="44" t="e">
        <f t="shared" ca="1" si="15"/>
        <v>#N/A</v>
      </c>
    </row>
    <row r="74" spans="2:36">
      <c r="B74" s="38">
        <v>55</v>
      </c>
      <c r="C74" s="77" t="e">
        <f t="shared" ca="1" si="12"/>
        <v>#N/A</v>
      </c>
      <c r="D74" s="78" t="e">
        <f ca="1">+IF(AND(B74&lt;$G$7),VLOOKUP($B$1,Inventory!$A$1:$BC$500,35,FALSE),IF(AND(B74=$G$7,pmt_timing="End"),VLOOKUP($B$1,Inventory!$A$1:$BC$500,35,FALSE),0))</f>
        <v>#N/A</v>
      </c>
      <c r="E74" s="78">
        <v>0</v>
      </c>
      <c r="F74" s="78">
        <v>0</v>
      </c>
      <c r="G74" s="78">
        <v>0</v>
      </c>
      <c r="H74" s="78">
        <v>0</v>
      </c>
      <c r="I74" s="78">
        <v>0</v>
      </c>
      <c r="J74" s="78">
        <v>0</v>
      </c>
      <c r="K74" s="78">
        <v>0</v>
      </c>
      <c r="L74" s="36" t="e">
        <f t="shared" ca="1" si="2"/>
        <v>#N/A</v>
      </c>
      <c r="M74" s="37" t="e">
        <f t="shared" ca="1" si="0"/>
        <v>#N/A</v>
      </c>
      <c r="N74" s="37" t="e">
        <f t="shared" ca="1" si="1"/>
        <v>#N/A</v>
      </c>
      <c r="P74" s="35" t="e">
        <f t="shared" ca="1" si="17"/>
        <v>#N/A</v>
      </c>
      <c r="Q74" s="59" t="e">
        <f t="shared" ca="1" si="3"/>
        <v>#N/A</v>
      </c>
      <c r="R74" s="44" t="e">
        <f t="shared" ca="1" si="13"/>
        <v>#N/A</v>
      </c>
      <c r="S74" s="37" t="e">
        <f ca="1">IF(P74="","",IF(P74="Total",SUM($S$19:S73),VLOOKUP($P74,$B$12:$L128,11,FALSE)))</f>
        <v>#N/A</v>
      </c>
      <c r="T74" s="44" t="e">
        <f ca="1">IF(payfreq="Annually",IF(P74="","",IF(P74="Total",SUM($T$19:T73),Adj_Rate*$R74)),IF(payfreq="Semiannually",IF(P74="","",IF(P74="Total",SUM($T$19:T73),Adj_Rate/2*$R74)),IF(payfreq="Quarterly",IF(P74="","",IF(P74="Total",SUM($T$19:T73),Adj_Rate/4*$R74)),IF(payfreq="Monthly",IF(P74="","",IF(P74="Total",SUM($T$19:T73),Adj_Rate/12*$R74)),""))))</f>
        <v>#N/A</v>
      </c>
      <c r="U74" s="37" t="e">
        <f t="shared" ca="1" si="14"/>
        <v>#N/A</v>
      </c>
      <c r="V74" s="44" t="e">
        <f t="shared" ca="1" si="15"/>
        <v>#N/A</v>
      </c>
    </row>
    <row r="75" spans="2:36">
      <c r="B75" s="38">
        <v>56</v>
      </c>
      <c r="C75" s="77" t="e">
        <f t="shared" ca="1" si="12"/>
        <v>#N/A</v>
      </c>
      <c r="D75" s="78" t="e">
        <f ca="1">+IF(AND(B75&lt;$G$7),VLOOKUP($B$1,Inventory!$A$1:$BC$500,35,FALSE),IF(AND(B75=$G$7,pmt_timing="End"),VLOOKUP($B$1,Inventory!$A$1:$BC$500,35,FALSE),0))</f>
        <v>#N/A</v>
      </c>
      <c r="E75" s="78">
        <v>0</v>
      </c>
      <c r="F75" s="78">
        <v>0</v>
      </c>
      <c r="G75" s="78">
        <v>0</v>
      </c>
      <c r="H75" s="78">
        <v>0</v>
      </c>
      <c r="I75" s="78">
        <v>0</v>
      </c>
      <c r="J75" s="78">
        <v>0</v>
      </c>
      <c r="K75" s="78">
        <v>0</v>
      </c>
      <c r="L75" s="36" t="e">
        <f t="shared" ca="1" si="2"/>
        <v>#N/A</v>
      </c>
      <c r="M75" s="37" t="e">
        <f t="shared" ca="1" si="0"/>
        <v>#N/A</v>
      </c>
      <c r="N75" s="37" t="e">
        <f t="shared" ca="1" si="1"/>
        <v>#N/A</v>
      </c>
      <c r="P75" s="35" t="e">
        <f t="shared" ca="1" si="17"/>
        <v>#N/A</v>
      </c>
      <c r="Q75" s="59" t="e">
        <f t="shared" ca="1" si="3"/>
        <v>#N/A</v>
      </c>
      <c r="R75" s="44" t="e">
        <f t="shared" ca="1" si="13"/>
        <v>#N/A</v>
      </c>
      <c r="S75" s="37" t="e">
        <f ca="1">IF(P75="","",IF(P75="Total",SUM($S$19:S74),VLOOKUP($P75,$B$12:$L129,11,FALSE)))</f>
        <v>#N/A</v>
      </c>
      <c r="T75" s="44" t="e">
        <f ca="1">IF(payfreq="Annually",IF(P75="","",IF(P75="Total",SUM($T$19:T74),Adj_Rate*$R75)),IF(payfreq="Semiannually",IF(P75="","",IF(P75="Total",SUM($T$19:T74),Adj_Rate/2*$R75)),IF(payfreq="Quarterly",IF(P75="","",IF(P75="Total",SUM($T$19:T74),Adj_Rate/4*$R75)),IF(payfreq="Monthly",IF(P75="","",IF(P75="Total",SUM($T$19:T74),Adj_Rate/12*$R75)),""))))</f>
        <v>#N/A</v>
      </c>
      <c r="U75" s="37" t="e">
        <f t="shared" ca="1" si="14"/>
        <v>#N/A</v>
      </c>
      <c r="V75" s="44" t="e">
        <f t="shared" ca="1" si="15"/>
        <v>#N/A</v>
      </c>
    </row>
    <row r="76" spans="2:36">
      <c r="B76" s="38">
        <v>57</v>
      </c>
      <c r="C76" s="77" t="e">
        <f t="shared" ca="1" si="12"/>
        <v>#N/A</v>
      </c>
      <c r="D76" s="78" t="e">
        <f ca="1">+IF(AND(B76&lt;$G$7),VLOOKUP($B$1,Inventory!$A$1:$BC$500,35,FALSE),IF(AND(B76=$G$7,pmt_timing="End"),VLOOKUP($B$1,Inventory!$A$1:$BC$500,35,FALSE),0))</f>
        <v>#N/A</v>
      </c>
      <c r="E76" s="78">
        <v>0</v>
      </c>
      <c r="F76" s="78">
        <v>0</v>
      </c>
      <c r="G76" s="78">
        <v>0</v>
      </c>
      <c r="H76" s="78">
        <v>0</v>
      </c>
      <c r="I76" s="78">
        <v>0</v>
      </c>
      <c r="J76" s="78">
        <v>0</v>
      </c>
      <c r="K76" s="78">
        <v>0</v>
      </c>
      <c r="L76" s="36" t="e">
        <f t="shared" ca="1" si="2"/>
        <v>#N/A</v>
      </c>
      <c r="M76" s="37" t="e">
        <f t="shared" ca="1" si="0"/>
        <v>#N/A</v>
      </c>
      <c r="N76" s="37" t="e">
        <f t="shared" ca="1" si="1"/>
        <v>#N/A</v>
      </c>
      <c r="P76" s="35" t="e">
        <f t="shared" ca="1" si="17"/>
        <v>#N/A</v>
      </c>
      <c r="Q76" s="59" t="e">
        <f t="shared" ca="1" si="3"/>
        <v>#N/A</v>
      </c>
      <c r="R76" s="44" t="e">
        <f t="shared" ca="1" si="13"/>
        <v>#N/A</v>
      </c>
      <c r="S76" s="37" t="e">
        <f ca="1">IF(P76="","",IF(P76="Total",SUM($S$19:S75),VLOOKUP($P76,$B$12:$L130,11,FALSE)))</f>
        <v>#N/A</v>
      </c>
      <c r="T76" s="44" t="e">
        <f ca="1">IF(payfreq="Annually",IF(P76="","",IF(P76="Total",SUM($T$19:T75),Adj_Rate*$R76)),IF(payfreq="Semiannually",IF(P76="","",IF(P76="Total",SUM($T$19:T75),Adj_Rate/2*$R76)),IF(payfreq="Quarterly",IF(P76="","",IF(P76="Total",SUM($T$19:T75),Adj_Rate/4*$R76)),IF(payfreq="Monthly",IF(P76="","",IF(P76="Total",SUM($T$19:T75),Adj_Rate/12*$R76)),""))))</f>
        <v>#N/A</v>
      </c>
      <c r="U76" s="37" t="e">
        <f t="shared" ca="1" si="14"/>
        <v>#N/A</v>
      </c>
      <c r="V76" s="44" t="e">
        <f t="shared" ca="1" si="15"/>
        <v>#N/A</v>
      </c>
    </row>
    <row r="77" spans="2:36">
      <c r="B77" s="38">
        <v>58</v>
      </c>
      <c r="C77" s="77" t="e">
        <f t="shared" ca="1" si="12"/>
        <v>#N/A</v>
      </c>
      <c r="D77" s="78" t="e">
        <f ca="1">+IF(AND(B77&lt;$G$7),VLOOKUP($B$1,Inventory!$A$1:$BC$500,35,FALSE),IF(AND(B77=$G$7,pmt_timing="End"),VLOOKUP($B$1,Inventory!$A$1:$BC$500,35,FALSE),0))</f>
        <v>#N/A</v>
      </c>
      <c r="E77" s="78">
        <v>0</v>
      </c>
      <c r="F77" s="78">
        <v>0</v>
      </c>
      <c r="G77" s="78">
        <v>0</v>
      </c>
      <c r="H77" s="78">
        <v>0</v>
      </c>
      <c r="I77" s="78">
        <v>0</v>
      </c>
      <c r="J77" s="78">
        <v>0</v>
      </c>
      <c r="K77" s="78">
        <v>0</v>
      </c>
      <c r="L77" s="36" t="e">
        <f t="shared" ca="1" si="2"/>
        <v>#N/A</v>
      </c>
      <c r="M77" s="37" t="e">
        <f t="shared" ca="1" si="0"/>
        <v>#N/A</v>
      </c>
      <c r="N77" s="37" t="e">
        <f t="shared" ca="1" si="1"/>
        <v>#N/A</v>
      </c>
      <c r="P77" s="35" t="e">
        <f t="shared" ca="1" si="17"/>
        <v>#N/A</v>
      </c>
      <c r="Q77" s="59" t="e">
        <f t="shared" ca="1" si="3"/>
        <v>#N/A</v>
      </c>
      <c r="R77" s="44" t="e">
        <f t="shared" ca="1" si="13"/>
        <v>#N/A</v>
      </c>
      <c r="S77" s="37" t="e">
        <f ca="1">IF(P77="","",IF(P77="Total",SUM($S$19:S76),VLOOKUP($P77,$B$12:$L131,11,FALSE)))</f>
        <v>#N/A</v>
      </c>
      <c r="T77" s="44" t="e">
        <f ca="1">IF(payfreq="Annually",IF(P77="","",IF(P77="Total",SUM($T$19:T76),Adj_Rate*$R77)),IF(payfreq="Semiannually",IF(P77="","",IF(P77="Total",SUM($T$19:T76),Adj_Rate/2*$R77)),IF(payfreq="Quarterly",IF(P77="","",IF(P77="Total",SUM($T$19:T76),Adj_Rate/4*$R77)),IF(payfreq="Monthly",IF(P77="","",IF(P77="Total",SUM($T$19:T76),Adj_Rate/12*$R77)),""))))</f>
        <v>#N/A</v>
      </c>
      <c r="U77" s="37" t="e">
        <f t="shared" ca="1" si="14"/>
        <v>#N/A</v>
      </c>
      <c r="V77" s="44" t="e">
        <f t="shared" ca="1" si="15"/>
        <v>#N/A</v>
      </c>
    </row>
    <row r="78" spans="2:36">
      <c r="B78" s="38">
        <v>59</v>
      </c>
      <c r="C78" s="77" t="e">
        <f t="shared" ca="1" si="12"/>
        <v>#N/A</v>
      </c>
      <c r="D78" s="78" t="e">
        <f ca="1">+IF(AND(B78&lt;$G$7),VLOOKUP($B$1,Inventory!$A$1:$BC$500,35,FALSE),IF(AND(B78=$G$7,pmt_timing="End"),VLOOKUP($B$1,Inventory!$A$1:$BC$500,35,FALSE),0))</f>
        <v>#N/A</v>
      </c>
      <c r="E78" s="78">
        <v>0</v>
      </c>
      <c r="F78" s="78">
        <v>0</v>
      </c>
      <c r="G78" s="78">
        <v>0</v>
      </c>
      <c r="H78" s="78">
        <v>0</v>
      </c>
      <c r="I78" s="78">
        <v>0</v>
      </c>
      <c r="J78" s="78">
        <v>0</v>
      </c>
      <c r="K78" s="78">
        <v>0</v>
      </c>
      <c r="L78" s="36" t="e">
        <f t="shared" ca="1" si="2"/>
        <v>#N/A</v>
      </c>
      <c r="M78" s="37" t="e">
        <f t="shared" ca="1" si="0"/>
        <v>#N/A</v>
      </c>
      <c r="N78" s="37" t="e">
        <f t="shared" ca="1" si="1"/>
        <v>#N/A</v>
      </c>
      <c r="P78" s="35" t="e">
        <f t="shared" ca="1" si="17"/>
        <v>#N/A</v>
      </c>
      <c r="Q78" s="59" t="e">
        <f t="shared" ca="1" si="3"/>
        <v>#N/A</v>
      </c>
      <c r="R78" s="44" t="e">
        <f t="shared" ca="1" si="13"/>
        <v>#N/A</v>
      </c>
      <c r="S78" s="37" t="e">
        <f ca="1">IF(P78="","",IF(P78="Total",SUM($S$19:S77),VLOOKUP($P78,$B$12:$L132,11,FALSE)))</f>
        <v>#N/A</v>
      </c>
      <c r="T78" s="44" t="e">
        <f ca="1">IF(payfreq="Annually",IF(P78="","",IF(P78="Total",SUM($T$19:T77),Adj_Rate*$R78)),IF(payfreq="Semiannually",IF(P78="","",IF(P78="Total",SUM($T$19:T77),Adj_Rate/2*$R78)),IF(payfreq="Quarterly",IF(P78="","",IF(P78="Total",SUM($T$19:T77),Adj_Rate/4*$R78)),IF(payfreq="Monthly",IF(P78="","",IF(P78="Total",SUM($T$19:T77),Adj_Rate/12*$R78)),""))))</f>
        <v>#N/A</v>
      </c>
      <c r="U78" s="37" t="e">
        <f t="shared" ca="1" si="14"/>
        <v>#N/A</v>
      </c>
      <c r="V78" s="44" t="e">
        <f t="shared" ca="1" si="15"/>
        <v>#N/A</v>
      </c>
    </row>
    <row r="79" spans="2:36">
      <c r="B79" s="38">
        <v>60</v>
      </c>
      <c r="C79" s="77" t="e">
        <f t="shared" ca="1" si="12"/>
        <v>#N/A</v>
      </c>
      <c r="D79" s="78" t="e">
        <f ca="1">+IF(AND(B79&lt;$G$7),VLOOKUP($B$1,Inventory!$A$1:$BC$500,35,FALSE),IF(AND(B79=$G$7,pmt_timing="End"),VLOOKUP($B$1,Inventory!$A$1:$BC$500,35,FALSE),0))</f>
        <v>#N/A</v>
      </c>
      <c r="E79" s="78">
        <v>0</v>
      </c>
      <c r="F79" s="78">
        <v>0</v>
      </c>
      <c r="G79" s="78">
        <v>0</v>
      </c>
      <c r="H79" s="78">
        <v>0</v>
      </c>
      <c r="I79" s="78">
        <v>0</v>
      </c>
      <c r="J79" s="78">
        <v>0</v>
      </c>
      <c r="K79" s="78">
        <v>0</v>
      </c>
      <c r="L79" s="36" t="e">
        <f t="shared" ca="1" si="2"/>
        <v>#N/A</v>
      </c>
      <c r="M79" s="37" t="e">
        <f t="shared" ca="1" si="0"/>
        <v>#N/A</v>
      </c>
      <c r="N79" s="37" t="e">
        <f t="shared" ca="1" si="1"/>
        <v>#N/A</v>
      </c>
      <c r="P79" s="35" t="e">
        <f t="shared" ca="1" si="17"/>
        <v>#N/A</v>
      </c>
      <c r="Q79" s="59" t="e">
        <f t="shared" ca="1" si="3"/>
        <v>#N/A</v>
      </c>
      <c r="R79" s="44" t="e">
        <f t="shared" ca="1" si="13"/>
        <v>#N/A</v>
      </c>
      <c r="S79" s="37" t="e">
        <f ca="1">IF(P79="","",IF(P79="Total",SUM($S$19:S78),VLOOKUP($P79,$B$12:$L133,11,FALSE)))</f>
        <v>#N/A</v>
      </c>
      <c r="T79" s="44" t="e">
        <f ca="1">IF(payfreq="Annually",IF(P79="","",IF(P79="Total",SUM($T$19:T78),Adj_Rate*$R79)),IF(payfreq="Semiannually",IF(P79="","",IF(P79="Total",SUM($T$19:T78),Adj_Rate/2*$R79)),IF(payfreq="Quarterly",IF(P79="","",IF(P79="Total",SUM($T$19:T78),Adj_Rate/4*$R79)),IF(payfreq="Monthly",IF(P79="","",IF(P79="Total",SUM($T$19:T78),Adj_Rate/12*$R79)),""))))</f>
        <v>#N/A</v>
      </c>
      <c r="U79" s="37" t="e">
        <f t="shared" ca="1" si="14"/>
        <v>#N/A</v>
      </c>
      <c r="V79" s="44" t="e">
        <f t="shared" ca="1" si="15"/>
        <v>#N/A</v>
      </c>
    </row>
    <row r="80" spans="2:36">
      <c r="B80" s="38">
        <v>61</v>
      </c>
      <c r="C80" s="77" t="e">
        <f t="shared" ca="1" si="12"/>
        <v>#N/A</v>
      </c>
      <c r="D80" s="78" t="e">
        <f ca="1">+IF(AND(B80&lt;$G$7),VLOOKUP($B$1,Inventory!$A$1:$BC$500,35,FALSE),IF(AND(B80=$G$7,pmt_timing="End"),VLOOKUP($B$1,Inventory!$A$1:$BC$500,35,FALSE),0))</f>
        <v>#N/A</v>
      </c>
      <c r="E80" s="78">
        <v>0</v>
      </c>
      <c r="F80" s="78">
        <v>0</v>
      </c>
      <c r="G80" s="78">
        <v>0</v>
      </c>
      <c r="H80" s="78">
        <v>0</v>
      </c>
      <c r="I80" s="78">
        <v>0</v>
      </c>
      <c r="J80" s="78">
        <v>0</v>
      </c>
      <c r="K80" s="78">
        <v>0</v>
      </c>
      <c r="L80" s="36" t="e">
        <f t="shared" ca="1" si="2"/>
        <v>#N/A</v>
      </c>
      <c r="M80" s="37" t="e">
        <f t="shared" ca="1" si="0"/>
        <v>#N/A</v>
      </c>
      <c r="N80" s="37" t="e">
        <f t="shared" ca="1" si="1"/>
        <v>#N/A</v>
      </c>
      <c r="P80" s="35" t="e">
        <f t="shared" ca="1" si="17"/>
        <v>#N/A</v>
      </c>
      <c r="Q80" s="59" t="e">
        <f t="shared" ca="1" si="3"/>
        <v>#N/A</v>
      </c>
      <c r="R80" s="44" t="e">
        <f t="shared" ca="1" si="13"/>
        <v>#N/A</v>
      </c>
      <c r="S80" s="37" t="e">
        <f ca="1">IF(P80="","",IF(P80="Total",SUM($S$19:S79),VLOOKUP($P80,$B$12:$L134,11,FALSE)))</f>
        <v>#N/A</v>
      </c>
      <c r="T80" s="44" t="e">
        <f ca="1">IF(payfreq="Annually",IF(P80="","",IF(P80="Total",SUM($T$19:T79),Adj_Rate*$R80)),IF(payfreq="Semiannually",IF(P80="","",IF(P80="Total",SUM($T$19:T79),Adj_Rate/2*$R80)),IF(payfreq="Quarterly",IF(P80="","",IF(P80="Total",SUM($T$19:T79),Adj_Rate/4*$R80)),IF(payfreq="Monthly",IF(P80="","",IF(P80="Total",SUM($T$19:T79),Adj_Rate/12*$R80)),""))))</f>
        <v>#N/A</v>
      </c>
      <c r="U80" s="37" t="e">
        <f t="shared" ca="1" si="14"/>
        <v>#N/A</v>
      </c>
      <c r="V80" s="44" t="e">
        <f t="shared" ca="1" si="15"/>
        <v>#N/A</v>
      </c>
    </row>
    <row r="81" spans="2:22">
      <c r="B81" s="38">
        <v>62</v>
      </c>
      <c r="C81" s="77" t="e">
        <f t="shared" ca="1" si="12"/>
        <v>#N/A</v>
      </c>
      <c r="D81" s="78" t="e">
        <f ca="1">+IF(AND(B81&lt;$G$7),VLOOKUP($B$1,Inventory!$A$1:$BC$500,35,FALSE),IF(AND(B81=$G$7,pmt_timing="End"),VLOOKUP($B$1,Inventory!$A$1:$BC$500,35,FALSE),0))</f>
        <v>#N/A</v>
      </c>
      <c r="E81" s="78">
        <v>0</v>
      </c>
      <c r="F81" s="78">
        <v>0</v>
      </c>
      <c r="G81" s="78">
        <v>0</v>
      </c>
      <c r="H81" s="78">
        <v>0</v>
      </c>
      <c r="I81" s="78">
        <v>0</v>
      </c>
      <c r="J81" s="78">
        <v>0</v>
      </c>
      <c r="K81" s="78">
        <v>0</v>
      </c>
      <c r="L81" s="36" t="e">
        <f t="shared" ca="1" si="2"/>
        <v>#N/A</v>
      </c>
      <c r="M81" s="37" t="e">
        <f t="shared" ca="1" si="0"/>
        <v>#N/A</v>
      </c>
      <c r="N81" s="37" t="e">
        <f t="shared" ca="1" si="1"/>
        <v>#N/A</v>
      </c>
      <c r="P81" s="35" t="e">
        <f t="shared" ca="1" si="17"/>
        <v>#N/A</v>
      </c>
      <c r="Q81" s="59" t="e">
        <f t="shared" ca="1" si="3"/>
        <v>#N/A</v>
      </c>
      <c r="R81" s="44" t="e">
        <f t="shared" ca="1" si="13"/>
        <v>#N/A</v>
      </c>
      <c r="S81" s="37" t="e">
        <f ca="1">IF(P81="","",IF(P81="Total",SUM($S$19:S80),VLOOKUP($P81,$B$12:$L135,11,FALSE)))</f>
        <v>#N/A</v>
      </c>
      <c r="T81" s="44" t="e">
        <f ca="1">IF(payfreq="Annually",IF(P81="","",IF(P81="Total",SUM($T$19:T80),Adj_Rate*$R81)),IF(payfreq="Semiannually",IF(P81="","",IF(P81="Total",SUM($T$19:T80),Adj_Rate/2*$R81)),IF(payfreq="Quarterly",IF(P81="","",IF(P81="Total",SUM($T$19:T80),Adj_Rate/4*$R81)),IF(payfreq="Monthly",IF(P81="","",IF(P81="Total",SUM($T$19:T80),Adj_Rate/12*$R81)),""))))</f>
        <v>#N/A</v>
      </c>
      <c r="U81" s="37" t="e">
        <f t="shared" ca="1" si="14"/>
        <v>#N/A</v>
      </c>
      <c r="V81" s="44" t="e">
        <f t="shared" ca="1" si="15"/>
        <v>#N/A</v>
      </c>
    </row>
    <row r="82" spans="2:22">
      <c r="B82" s="38">
        <v>63</v>
      </c>
      <c r="C82" s="77" t="e">
        <f t="shared" ca="1" si="12"/>
        <v>#N/A</v>
      </c>
      <c r="D82" s="78" t="e">
        <f ca="1">+IF(AND(B82&lt;$G$7),VLOOKUP($B$1,Inventory!$A$1:$BC$500,35,FALSE),IF(AND(B82=$G$7,pmt_timing="End"),VLOOKUP($B$1,Inventory!$A$1:$BC$500,35,FALSE),0))</f>
        <v>#N/A</v>
      </c>
      <c r="E82" s="78">
        <v>0</v>
      </c>
      <c r="F82" s="78">
        <v>0</v>
      </c>
      <c r="G82" s="78">
        <v>0</v>
      </c>
      <c r="H82" s="78">
        <v>0</v>
      </c>
      <c r="I82" s="78">
        <v>0</v>
      </c>
      <c r="J82" s="78">
        <v>0</v>
      </c>
      <c r="K82" s="78">
        <v>0</v>
      </c>
      <c r="L82" s="36" t="e">
        <f t="shared" ca="1" si="2"/>
        <v>#N/A</v>
      </c>
      <c r="M82" s="37" t="e">
        <f t="shared" ca="1" si="0"/>
        <v>#N/A</v>
      </c>
      <c r="N82" s="37" t="e">
        <f t="shared" ca="1" si="1"/>
        <v>#N/A</v>
      </c>
      <c r="P82" s="35" t="e">
        <f t="shared" ca="1" si="17"/>
        <v>#N/A</v>
      </c>
      <c r="Q82" s="59" t="e">
        <f t="shared" ca="1" si="3"/>
        <v>#N/A</v>
      </c>
      <c r="R82" s="44" t="e">
        <f t="shared" ca="1" si="13"/>
        <v>#N/A</v>
      </c>
      <c r="S82" s="37" t="e">
        <f ca="1">IF(P82="","",IF(P82="Total",SUM($S$19:S81),VLOOKUP($P82,$B$12:$L136,11,FALSE)))</f>
        <v>#N/A</v>
      </c>
      <c r="T82" s="44" t="e">
        <f ca="1">IF(payfreq="Annually",IF(P82="","",IF(P82="Total",SUM($T$19:T81),Adj_Rate*$R82)),IF(payfreq="Semiannually",IF(P82="","",IF(P82="Total",SUM($T$19:T81),Adj_Rate/2*$R82)),IF(payfreq="Quarterly",IF(P82="","",IF(P82="Total",SUM($T$19:T81),Adj_Rate/4*$R82)),IF(payfreq="Monthly",IF(P82="","",IF(P82="Total",SUM($T$19:T81),Adj_Rate/12*$R82)),""))))</f>
        <v>#N/A</v>
      </c>
      <c r="U82" s="37" t="e">
        <f t="shared" ca="1" si="14"/>
        <v>#N/A</v>
      </c>
      <c r="V82" s="44" t="e">
        <f t="shared" ca="1" si="15"/>
        <v>#N/A</v>
      </c>
    </row>
    <row r="83" spans="2:22">
      <c r="B83" s="38">
        <v>64</v>
      </c>
      <c r="C83" s="77" t="e">
        <f t="shared" ca="1" si="12"/>
        <v>#N/A</v>
      </c>
      <c r="D83" s="78" t="e">
        <f ca="1">+IF(AND(B83&lt;$G$7),VLOOKUP($B$1,Inventory!$A$1:$BC$500,35,FALSE),IF(AND(B83=$G$7,pmt_timing="End"),VLOOKUP($B$1,Inventory!$A$1:$BC$500,35,FALSE),0))</f>
        <v>#N/A</v>
      </c>
      <c r="E83" s="78">
        <v>0</v>
      </c>
      <c r="F83" s="78">
        <v>0</v>
      </c>
      <c r="G83" s="78">
        <v>0</v>
      </c>
      <c r="H83" s="78">
        <v>0</v>
      </c>
      <c r="I83" s="78">
        <v>0</v>
      </c>
      <c r="J83" s="78">
        <v>0</v>
      </c>
      <c r="K83" s="78">
        <v>0</v>
      </c>
      <c r="L83" s="36" t="e">
        <f t="shared" ca="1" si="2"/>
        <v>#N/A</v>
      </c>
      <c r="M83" s="37" t="e">
        <f t="shared" ref="M83:M146" ca="1" si="43">IF(AND(payfreq="Annually",pmt_timing="End",$B83&lt;=term),$L83/(1+Adj_Rate)^($B83),IF(AND(payfreq="Semiannually",pmt_timing="End",$B83&lt;=term),$L83/(1+Adj_Rate/2)^($B83),IF(AND(payfreq="Quarterly",pmt_timing="End",$B83&lt;=term),$L83/(1+Adj_Rate/4)^($B83),IF(AND(payfreq="Monthly",pmt_timing="End",$B83&lt;=term),$L83/(1+Adj_Rate/12)^($B83),""))))</f>
        <v>#N/A</v>
      </c>
      <c r="N83" s="37" t="e">
        <f t="shared" ref="N83:N146" ca="1" si="44">IF(AND(payfreq="Annually",pmt_timing="Beginning",$B83&lt;=term),$L83/(1+Adj_Rate)^($B83),IF(AND(payfreq="Semiannually",pmt_timing="Beginning",$B83&lt;=term),$L83/(1+Adj_Rate/2)^($B83),IF(AND(payfreq="Quarterly",pmt_timing="Beginning",$B83&lt;=term),$L83/(1+Adj_Rate/4)^($B83),IF(AND(payfreq="Monthly",pmt_timing="Beginning",$B83&lt;=term),$L83/(1+Adj_Rate/12)^($B83),""))))</f>
        <v>#N/A</v>
      </c>
      <c r="P83" s="35" t="e">
        <f t="shared" ca="1" si="17"/>
        <v>#N/A</v>
      </c>
      <c r="Q83" s="59" t="e">
        <f t="shared" ca="1" si="3"/>
        <v>#N/A</v>
      </c>
      <c r="R83" s="44" t="e">
        <f t="shared" ca="1" si="13"/>
        <v>#N/A</v>
      </c>
      <c r="S83" s="37" t="e">
        <f ca="1">IF(P83="","",IF(P83="Total",SUM($S$19:S82),VLOOKUP($P83,$B$12:$L137,11,FALSE)))</f>
        <v>#N/A</v>
      </c>
      <c r="T83" s="44" t="e">
        <f ca="1">IF(payfreq="Annually",IF(P83="","",IF(P83="Total",SUM($T$19:T82),Adj_Rate*$R83)),IF(payfreq="Semiannually",IF(P83="","",IF(P83="Total",SUM($T$19:T82),Adj_Rate/2*$R83)),IF(payfreq="Quarterly",IF(P83="","",IF(P83="Total",SUM($T$19:T82),Adj_Rate/4*$R83)),IF(payfreq="Monthly",IF(P83="","",IF(P83="Total",SUM($T$19:T82),Adj_Rate/12*$R83)),""))))</f>
        <v>#N/A</v>
      </c>
      <c r="U83" s="37" t="e">
        <f t="shared" ca="1" si="14"/>
        <v>#N/A</v>
      </c>
      <c r="V83" s="44" t="e">
        <f t="shared" ca="1" si="15"/>
        <v>#N/A</v>
      </c>
    </row>
    <row r="84" spans="2:22">
      <c r="B84" s="38">
        <v>65</v>
      </c>
      <c r="C84" s="77" t="e">
        <f t="shared" ca="1" si="12"/>
        <v>#N/A</v>
      </c>
      <c r="D84" s="78" t="e">
        <f ca="1">+IF(AND(B84&lt;$G$7),VLOOKUP($B$1,Inventory!$A$1:$BC$500,35,FALSE),IF(AND(B84=$G$7,pmt_timing="End"),VLOOKUP($B$1,Inventory!$A$1:$BC$500,35,FALSE),0))</f>
        <v>#N/A</v>
      </c>
      <c r="E84" s="78">
        <v>0</v>
      </c>
      <c r="F84" s="78">
        <v>0</v>
      </c>
      <c r="G84" s="78">
        <v>0</v>
      </c>
      <c r="H84" s="78">
        <v>0</v>
      </c>
      <c r="I84" s="78">
        <v>0</v>
      </c>
      <c r="J84" s="78">
        <v>0</v>
      </c>
      <c r="K84" s="78">
        <v>0</v>
      </c>
      <c r="L84" s="36" t="e">
        <f t="shared" ref="L84:L147" ca="1" si="45">SUM(D84:K84)</f>
        <v>#N/A</v>
      </c>
      <c r="M84" s="37" t="e">
        <f t="shared" ca="1" si="43"/>
        <v>#N/A</v>
      </c>
      <c r="N84" s="37" t="e">
        <f t="shared" ca="1" si="44"/>
        <v>#N/A</v>
      </c>
      <c r="P84" s="35" t="e">
        <f t="shared" ca="1" si="17"/>
        <v>#N/A</v>
      </c>
      <c r="Q84" s="59" t="e">
        <f t="shared" ref="Q84:Q147" ca="1" si="46">IF(P84="","",IF(P84="total","",IF(payfreq="Annually",DATE(YEAR(Q83)+1,MONTH(Q83),DAY(Q83)),IF(payfreq="Semiannually",DATE(YEAR(Q83),MONTH(Q83)+6,DAY(Q83)),IF(payfreq="Quarterly",DATE(YEAR(Q83),MONTH(Q83)+3,DAY(Q83)),IF(payfreq="Monthly",DATE(YEAR(Q83),MONTH(Q83)+1,DAY(Q83))))))))</f>
        <v>#N/A</v>
      </c>
      <c r="R84" s="44" t="e">
        <f t="shared" ref="R84:R147" ca="1" si="47">IF(OR(P84="",P84="Total"),"",V83)</f>
        <v>#N/A</v>
      </c>
      <c r="S84" s="37" t="e">
        <f ca="1">IF(P84="","",IF(P84="Total",SUM($S$19:S83),VLOOKUP($P84,$B$12:$L138,11,FALSE)))</f>
        <v>#N/A</v>
      </c>
      <c r="T84" s="44" t="e">
        <f ca="1">IF(payfreq="Annually",IF(P84="","",IF(P84="Total",SUM($T$19:T83),Adj_Rate*$R84)),IF(payfreq="Semiannually",IF(P84="","",IF(P84="Total",SUM($T$19:T83),Adj_Rate/2*$R84)),IF(payfreq="Quarterly",IF(P84="","",IF(P84="Total",SUM($T$19:T83),Adj_Rate/4*$R84)),IF(payfreq="Monthly",IF(P84="","",IF(P84="Total",SUM($T$19:T83),Adj_Rate/12*$R84)),""))))</f>
        <v>#N/A</v>
      </c>
      <c r="U84" s="37" t="e">
        <f t="shared" ref="U84:U147" ca="1" si="48">+IF(S84="","",S84-T84)</f>
        <v>#N/A</v>
      </c>
      <c r="V84" s="44" t="e">
        <f t="shared" ref="V84:V147" ca="1" si="49">IF(OR(P84="",P84="Total"),"",R84+T84-S84)</f>
        <v>#N/A</v>
      </c>
    </row>
    <row r="85" spans="2:22">
      <c r="B85" s="38">
        <v>66</v>
      </c>
      <c r="C85" s="77" t="e">
        <f t="shared" ref="C85:C148" ca="1" si="50">IF(Q85 &lt;&gt; "",Q85, "")</f>
        <v>#N/A</v>
      </c>
      <c r="D85" s="78" t="e">
        <f ca="1">+IF(AND(B85&lt;$G$7),VLOOKUP($B$1,Inventory!$A$1:$BC$500,35,FALSE),IF(AND(B85=$G$7,pmt_timing="End"),VLOOKUP($B$1,Inventory!$A$1:$BC$500,35,FALSE),0))</f>
        <v>#N/A</v>
      </c>
      <c r="E85" s="78">
        <v>0</v>
      </c>
      <c r="F85" s="78">
        <v>0</v>
      </c>
      <c r="G85" s="78">
        <v>0</v>
      </c>
      <c r="H85" s="78">
        <v>0</v>
      </c>
      <c r="I85" s="78">
        <v>0</v>
      </c>
      <c r="J85" s="78">
        <v>0</v>
      </c>
      <c r="K85" s="78">
        <v>0</v>
      </c>
      <c r="L85" s="36" t="e">
        <f t="shared" ca="1" si="45"/>
        <v>#N/A</v>
      </c>
      <c r="M85" s="37" t="e">
        <f t="shared" ca="1" si="43"/>
        <v>#N/A</v>
      </c>
      <c r="N85" s="37" t="e">
        <f t="shared" ca="1" si="44"/>
        <v>#N/A</v>
      </c>
      <c r="P85" s="35" t="e">
        <f t="shared" ref="P85:P148" ca="1" si="51">IF(P84&lt;term,P84+1,IF(P84=term,"Total",""))</f>
        <v>#N/A</v>
      </c>
      <c r="Q85" s="59" t="e">
        <f t="shared" ca="1" si="46"/>
        <v>#N/A</v>
      </c>
      <c r="R85" s="44" t="e">
        <f t="shared" ca="1" si="47"/>
        <v>#N/A</v>
      </c>
      <c r="S85" s="37" t="e">
        <f ca="1">IF(P85="","",IF(P85="Total",SUM($S$19:S84),VLOOKUP($P85,$B$12:$L139,11,FALSE)))</f>
        <v>#N/A</v>
      </c>
      <c r="T85" s="44" t="e">
        <f ca="1">IF(payfreq="Annually",IF(P85="","",IF(P85="Total",SUM($T$19:T84),Adj_Rate*$R85)),IF(payfreq="Semiannually",IF(P85="","",IF(P85="Total",SUM($T$19:T84),Adj_Rate/2*$R85)),IF(payfreq="Quarterly",IF(P85="","",IF(P85="Total",SUM($T$19:T84),Adj_Rate/4*$R85)),IF(payfreq="Monthly",IF(P85="","",IF(P85="Total",SUM($T$19:T84),Adj_Rate/12*$R85)),""))))</f>
        <v>#N/A</v>
      </c>
      <c r="U85" s="37" t="e">
        <f t="shared" ca="1" si="48"/>
        <v>#N/A</v>
      </c>
      <c r="V85" s="44" t="e">
        <f t="shared" ca="1" si="49"/>
        <v>#N/A</v>
      </c>
    </row>
    <row r="86" spans="2:22">
      <c r="B86" s="38">
        <v>67</v>
      </c>
      <c r="C86" s="77" t="e">
        <f t="shared" ca="1" si="50"/>
        <v>#N/A</v>
      </c>
      <c r="D86" s="78" t="e">
        <f ca="1">+IF(AND(B86&lt;$G$7),VLOOKUP($B$1,Inventory!$A$1:$BC$500,35,FALSE),IF(AND(B86=$G$7,pmt_timing="End"),VLOOKUP($B$1,Inventory!$A$1:$BC$500,35,FALSE),0))</f>
        <v>#N/A</v>
      </c>
      <c r="E86" s="78">
        <v>0</v>
      </c>
      <c r="F86" s="78">
        <v>0</v>
      </c>
      <c r="G86" s="78">
        <v>0</v>
      </c>
      <c r="H86" s="78">
        <v>0</v>
      </c>
      <c r="I86" s="78">
        <v>0</v>
      </c>
      <c r="J86" s="78">
        <v>0</v>
      </c>
      <c r="K86" s="78">
        <v>0</v>
      </c>
      <c r="L86" s="36" t="e">
        <f t="shared" ca="1" si="45"/>
        <v>#N/A</v>
      </c>
      <c r="M86" s="37" t="e">
        <f t="shared" ca="1" si="43"/>
        <v>#N/A</v>
      </c>
      <c r="N86" s="37" t="e">
        <f t="shared" ca="1" si="44"/>
        <v>#N/A</v>
      </c>
      <c r="P86" s="35" t="e">
        <f t="shared" ca="1" si="51"/>
        <v>#N/A</v>
      </c>
      <c r="Q86" s="59" t="e">
        <f t="shared" ca="1" si="46"/>
        <v>#N/A</v>
      </c>
      <c r="R86" s="44" t="e">
        <f t="shared" ca="1" si="47"/>
        <v>#N/A</v>
      </c>
      <c r="S86" s="37" t="e">
        <f ca="1">IF(P86="","",IF(P86="Total",SUM($S$19:S85),VLOOKUP($P86,$B$12:$L140,11,FALSE)))</f>
        <v>#N/A</v>
      </c>
      <c r="T86" s="44" t="e">
        <f ca="1">IF(payfreq="Annually",IF(P86="","",IF(P86="Total",SUM($T$19:T85),Adj_Rate*$R86)),IF(payfreq="Semiannually",IF(P86="","",IF(P86="Total",SUM($T$19:T85),Adj_Rate/2*$R86)),IF(payfreq="Quarterly",IF(P86="","",IF(P86="Total",SUM($T$19:T85),Adj_Rate/4*$R86)),IF(payfreq="Monthly",IF(P86="","",IF(P86="Total",SUM($T$19:T85),Adj_Rate/12*$R86)),""))))</f>
        <v>#N/A</v>
      </c>
      <c r="U86" s="37" t="e">
        <f t="shared" ca="1" si="48"/>
        <v>#N/A</v>
      </c>
      <c r="V86" s="44" t="e">
        <f t="shared" ca="1" si="49"/>
        <v>#N/A</v>
      </c>
    </row>
    <row r="87" spans="2:22">
      <c r="B87" s="38">
        <v>68</v>
      </c>
      <c r="C87" s="77" t="e">
        <f t="shared" ca="1" si="50"/>
        <v>#N/A</v>
      </c>
      <c r="D87" s="78" t="e">
        <f ca="1">+IF(AND(B87&lt;$G$7),VLOOKUP($B$1,Inventory!$A$1:$BC$500,35,FALSE),IF(AND(B87=$G$7,pmt_timing="End"),VLOOKUP($B$1,Inventory!$A$1:$BC$500,35,FALSE),0))</f>
        <v>#N/A</v>
      </c>
      <c r="E87" s="78">
        <v>0</v>
      </c>
      <c r="F87" s="78">
        <v>0</v>
      </c>
      <c r="G87" s="78">
        <v>0</v>
      </c>
      <c r="H87" s="78">
        <v>0</v>
      </c>
      <c r="I87" s="78">
        <v>0</v>
      </c>
      <c r="J87" s="78">
        <v>0</v>
      </c>
      <c r="K87" s="78">
        <v>0</v>
      </c>
      <c r="L87" s="36" t="e">
        <f t="shared" ca="1" si="45"/>
        <v>#N/A</v>
      </c>
      <c r="M87" s="37" t="e">
        <f t="shared" ca="1" si="43"/>
        <v>#N/A</v>
      </c>
      <c r="N87" s="37" t="e">
        <f t="shared" ca="1" si="44"/>
        <v>#N/A</v>
      </c>
      <c r="P87" s="35" t="e">
        <f t="shared" ca="1" si="51"/>
        <v>#N/A</v>
      </c>
      <c r="Q87" s="59" t="e">
        <f t="shared" ca="1" si="46"/>
        <v>#N/A</v>
      </c>
      <c r="R87" s="44" t="e">
        <f t="shared" ca="1" si="47"/>
        <v>#N/A</v>
      </c>
      <c r="S87" s="37" t="e">
        <f ca="1">IF(P87="","",IF(P87="Total",SUM($S$19:S86),VLOOKUP($P87,$B$12:$L141,11,FALSE)))</f>
        <v>#N/A</v>
      </c>
      <c r="T87" s="44" t="e">
        <f ca="1">IF(payfreq="Annually",IF(P87="","",IF(P87="Total",SUM($T$19:T86),Adj_Rate*$R87)),IF(payfreq="Semiannually",IF(P87="","",IF(P87="Total",SUM($T$19:T86),Adj_Rate/2*$R87)),IF(payfreq="Quarterly",IF(P87="","",IF(P87="Total",SUM($T$19:T86),Adj_Rate/4*$R87)),IF(payfreq="Monthly",IF(P87="","",IF(P87="Total",SUM($T$19:T86),Adj_Rate/12*$R87)),""))))</f>
        <v>#N/A</v>
      </c>
      <c r="U87" s="37" t="e">
        <f t="shared" ca="1" si="48"/>
        <v>#N/A</v>
      </c>
      <c r="V87" s="44" t="e">
        <f t="shared" ca="1" si="49"/>
        <v>#N/A</v>
      </c>
    </row>
    <row r="88" spans="2:22">
      <c r="B88" s="38">
        <v>69</v>
      </c>
      <c r="C88" s="77" t="e">
        <f t="shared" ca="1" si="50"/>
        <v>#N/A</v>
      </c>
      <c r="D88" s="78" t="e">
        <f ca="1">+IF(AND(B88&lt;$G$7),VLOOKUP($B$1,Inventory!$A$1:$BC$500,35,FALSE),IF(AND(B88=$G$7,pmt_timing="End"),VLOOKUP($B$1,Inventory!$A$1:$BC$500,35,FALSE),0))</f>
        <v>#N/A</v>
      </c>
      <c r="E88" s="78">
        <v>0</v>
      </c>
      <c r="F88" s="78">
        <v>0</v>
      </c>
      <c r="G88" s="78">
        <v>0</v>
      </c>
      <c r="H88" s="78">
        <v>0</v>
      </c>
      <c r="I88" s="78">
        <v>0</v>
      </c>
      <c r="J88" s="78">
        <v>0</v>
      </c>
      <c r="K88" s="78">
        <v>0</v>
      </c>
      <c r="L88" s="36" t="e">
        <f t="shared" ca="1" si="45"/>
        <v>#N/A</v>
      </c>
      <c r="M88" s="37" t="e">
        <f t="shared" ca="1" si="43"/>
        <v>#N/A</v>
      </c>
      <c r="N88" s="37" t="e">
        <f t="shared" ca="1" si="44"/>
        <v>#N/A</v>
      </c>
      <c r="P88" s="35" t="e">
        <f t="shared" ca="1" si="51"/>
        <v>#N/A</v>
      </c>
      <c r="Q88" s="59" t="e">
        <f t="shared" ca="1" si="46"/>
        <v>#N/A</v>
      </c>
      <c r="R88" s="44" t="e">
        <f t="shared" ca="1" si="47"/>
        <v>#N/A</v>
      </c>
      <c r="S88" s="37" t="e">
        <f ca="1">IF(P88="","",IF(P88="Total",SUM($S$19:S87),VLOOKUP($P88,$B$12:$L142,11,FALSE)))</f>
        <v>#N/A</v>
      </c>
      <c r="T88" s="44" t="e">
        <f ca="1">IF(payfreq="Annually",IF(P88="","",IF(P88="Total",SUM($T$19:T87),Adj_Rate*$R88)),IF(payfreq="Semiannually",IF(P88="","",IF(P88="Total",SUM($T$19:T87),Adj_Rate/2*$R88)),IF(payfreq="Quarterly",IF(P88="","",IF(P88="Total",SUM($T$19:T87),Adj_Rate/4*$R88)),IF(payfreq="Monthly",IF(P88="","",IF(P88="Total",SUM($T$19:T87),Adj_Rate/12*$R88)),""))))</f>
        <v>#N/A</v>
      </c>
      <c r="U88" s="37" t="e">
        <f t="shared" ca="1" si="48"/>
        <v>#N/A</v>
      </c>
      <c r="V88" s="44" t="e">
        <f t="shared" ca="1" si="49"/>
        <v>#N/A</v>
      </c>
    </row>
    <row r="89" spans="2:22">
      <c r="B89" s="38">
        <v>70</v>
      </c>
      <c r="C89" s="77" t="e">
        <f t="shared" ca="1" si="50"/>
        <v>#N/A</v>
      </c>
      <c r="D89" s="78" t="e">
        <f ca="1">+IF(AND(B89&lt;$G$7),VLOOKUP($B$1,Inventory!$A$1:$BC$500,35,FALSE),IF(AND(B89=$G$7,pmt_timing="End"),VLOOKUP($B$1,Inventory!$A$1:$BC$500,35,FALSE),0))</f>
        <v>#N/A</v>
      </c>
      <c r="E89" s="78">
        <v>0</v>
      </c>
      <c r="F89" s="78">
        <v>0</v>
      </c>
      <c r="G89" s="78">
        <v>0</v>
      </c>
      <c r="H89" s="78">
        <v>0</v>
      </c>
      <c r="I89" s="78">
        <v>0</v>
      </c>
      <c r="J89" s="78">
        <v>0</v>
      </c>
      <c r="K89" s="78">
        <v>0</v>
      </c>
      <c r="L89" s="36" t="e">
        <f t="shared" ca="1" si="45"/>
        <v>#N/A</v>
      </c>
      <c r="M89" s="37" t="e">
        <f t="shared" ca="1" si="43"/>
        <v>#N/A</v>
      </c>
      <c r="N89" s="37" t="e">
        <f t="shared" ca="1" si="44"/>
        <v>#N/A</v>
      </c>
      <c r="P89" s="35" t="e">
        <f t="shared" ca="1" si="51"/>
        <v>#N/A</v>
      </c>
      <c r="Q89" s="59" t="e">
        <f t="shared" ca="1" si="46"/>
        <v>#N/A</v>
      </c>
      <c r="R89" s="44" t="e">
        <f t="shared" ca="1" si="47"/>
        <v>#N/A</v>
      </c>
      <c r="S89" s="37" t="e">
        <f ca="1">IF(P89="","",IF(P89="Total",SUM($S$19:S88),VLOOKUP($P89,$B$12:$L143,11,FALSE)))</f>
        <v>#N/A</v>
      </c>
      <c r="T89" s="44" t="e">
        <f ca="1">IF(payfreq="Annually",IF(P89="","",IF(P89="Total",SUM($T$19:T88),Adj_Rate*$R89)),IF(payfreq="Semiannually",IF(P89="","",IF(P89="Total",SUM($T$19:T88),Adj_Rate/2*$R89)),IF(payfreq="Quarterly",IF(P89="","",IF(P89="Total",SUM($T$19:T88),Adj_Rate/4*$R89)),IF(payfreq="Monthly",IF(P89="","",IF(P89="Total",SUM($T$19:T88),Adj_Rate/12*$R89)),""))))</f>
        <v>#N/A</v>
      </c>
      <c r="U89" s="37" t="e">
        <f t="shared" ca="1" si="48"/>
        <v>#N/A</v>
      </c>
      <c r="V89" s="44" t="e">
        <f t="shared" ca="1" si="49"/>
        <v>#N/A</v>
      </c>
    </row>
    <row r="90" spans="2:22">
      <c r="B90" s="38">
        <v>71</v>
      </c>
      <c r="C90" s="77" t="e">
        <f t="shared" ca="1" si="50"/>
        <v>#N/A</v>
      </c>
      <c r="D90" s="78" t="e">
        <f ca="1">+IF(AND(B90&lt;$G$7),VLOOKUP($B$1,Inventory!$A$1:$BC$500,35,FALSE),IF(AND(B90=$G$7,pmt_timing="End"),VLOOKUP($B$1,Inventory!$A$1:$BC$500,35,FALSE),0))</f>
        <v>#N/A</v>
      </c>
      <c r="E90" s="78">
        <v>0</v>
      </c>
      <c r="F90" s="78">
        <v>0</v>
      </c>
      <c r="G90" s="78">
        <v>0</v>
      </c>
      <c r="H90" s="78">
        <v>0</v>
      </c>
      <c r="I90" s="78">
        <v>0</v>
      </c>
      <c r="J90" s="78">
        <v>0</v>
      </c>
      <c r="K90" s="78">
        <v>0</v>
      </c>
      <c r="L90" s="36" t="e">
        <f t="shared" ca="1" si="45"/>
        <v>#N/A</v>
      </c>
      <c r="M90" s="37" t="e">
        <f t="shared" ca="1" si="43"/>
        <v>#N/A</v>
      </c>
      <c r="N90" s="37" t="e">
        <f t="shared" ca="1" si="44"/>
        <v>#N/A</v>
      </c>
      <c r="P90" s="35" t="e">
        <f t="shared" ca="1" si="51"/>
        <v>#N/A</v>
      </c>
      <c r="Q90" s="59" t="e">
        <f t="shared" ca="1" si="46"/>
        <v>#N/A</v>
      </c>
      <c r="R90" s="44" t="e">
        <f t="shared" ca="1" si="47"/>
        <v>#N/A</v>
      </c>
      <c r="S90" s="37" t="e">
        <f ca="1">IF(P90="","",IF(P90="Total",SUM($S$19:S89),VLOOKUP($P90,$B$12:$L144,11,FALSE)))</f>
        <v>#N/A</v>
      </c>
      <c r="T90" s="44" t="e">
        <f ca="1">IF(payfreq="Annually",IF(P90="","",IF(P90="Total",SUM($T$19:T89),Adj_Rate*$R90)),IF(payfreq="Semiannually",IF(P90="","",IF(P90="Total",SUM($T$19:T89),Adj_Rate/2*$R90)),IF(payfreq="Quarterly",IF(P90="","",IF(P90="Total",SUM($T$19:T89),Adj_Rate/4*$R90)),IF(payfreq="Monthly",IF(P90="","",IF(P90="Total",SUM($T$19:T89),Adj_Rate/12*$R90)),""))))</f>
        <v>#N/A</v>
      </c>
      <c r="U90" s="37" t="e">
        <f t="shared" ca="1" si="48"/>
        <v>#N/A</v>
      </c>
      <c r="V90" s="44" t="e">
        <f t="shared" ca="1" si="49"/>
        <v>#N/A</v>
      </c>
    </row>
    <row r="91" spans="2:22">
      <c r="B91" s="38">
        <v>72</v>
      </c>
      <c r="C91" s="77" t="e">
        <f t="shared" ca="1" si="50"/>
        <v>#N/A</v>
      </c>
      <c r="D91" s="78" t="e">
        <f ca="1">+IF(AND(B91&lt;$G$7),VLOOKUP($B$1,Inventory!$A$1:$BC$500,35,FALSE),IF(AND(B91=$G$7,pmt_timing="End"),VLOOKUP($B$1,Inventory!$A$1:$BC$500,35,FALSE),0))</f>
        <v>#N/A</v>
      </c>
      <c r="E91" s="78">
        <v>0</v>
      </c>
      <c r="F91" s="78">
        <v>0</v>
      </c>
      <c r="G91" s="78">
        <v>0</v>
      </c>
      <c r="H91" s="78">
        <v>0</v>
      </c>
      <c r="I91" s="78">
        <v>0</v>
      </c>
      <c r="J91" s="78">
        <v>0</v>
      </c>
      <c r="K91" s="78">
        <v>0</v>
      </c>
      <c r="L91" s="36" t="e">
        <f t="shared" ca="1" si="45"/>
        <v>#N/A</v>
      </c>
      <c r="M91" s="37" t="e">
        <f t="shared" ca="1" si="43"/>
        <v>#N/A</v>
      </c>
      <c r="N91" s="37" t="e">
        <f t="shared" ca="1" si="44"/>
        <v>#N/A</v>
      </c>
      <c r="P91" s="35" t="e">
        <f t="shared" ca="1" si="51"/>
        <v>#N/A</v>
      </c>
      <c r="Q91" s="59" t="e">
        <f t="shared" ca="1" si="46"/>
        <v>#N/A</v>
      </c>
      <c r="R91" s="44" t="e">
        <f t="shared" ca="1" si="47"/>
        <v>#N/A</v>
      </c>
      <c r="S91" s="37" t="e">
        <f ca="1">IF(P91="","",IF(P91="Total",SUM($S$19:S90),VLOOKUP($P91,$B$12:$L145,11,FALSE)))</f>
        <v>#N/A</v>
      </c>
      <c r="T91" s="44" t="e">
        <f ca="1">IF(payfreq="Annually",IF(P91="","",IF(P91="Total",SUM($T$19:T90),Adj_Rate*$R91)),IF(payfreq="Semiannually",IF(P91="","",IF(P91="Total",SUM($T$19:T90),Adj_Rate/2*$R91)),IF(payfreq="Quarterly",IF(P91="","",IF(P91="Total",SUM($T$19:T90),Adj_Rate/4*$R91)),IF(payfreq="Monthly",IF(P91="","",IF(P91="Total",SUM($T$19:T90),Adj_Rate/12*$R91)),""))))</f>
        <v>#N/A</v>
      </c>
      <c r="U91" s="37" t="e">
        <f t="shared" ca="1" si="48"/>
        <v>#N/A</v>
      </c>
      <c r="V91" s="44" t="e">
        <f t="shared" ca="1" si="49"/>
        <v>#N/A</v>
      </c>
    </row>
    <row r="92" spans="2:22">
      <c r="B92" s="38">
        <v>73</v>
      </c>
      <c r="C92" s="77" t="e">
        <f t="shared" ca="1" si="50"/>
        <v>#N/A</v>
      </c>
      <c r="D92" s="78" t="e">
        <f ca="1">+IF(AND(B92&lt;$G$7),VLOOKUP($B$1,Inventory!$A$1:$BC$500,35,FALSE),IF(AND(B92=$G$7,pmt_timing="End"),VLOOKUP($B$1,Inventory!$A$1:$BC$500,35,FALSE),0))</f>
        <v>#N/A</v>
      </c>
      <c r="E92" s="78">
        <v>0</v>
      </c>
      <c r="F92" s="78">
        <v>0</v>
      </c>
      <c r="G92" s="78">
        <v>0</v>
      </c>
      <c r="H92" s="78">
        <v>0</v>
      </c>
      <c r="I92" s="78">
        <v>0</v>
      </c>
      <c r="J92" s="78">
        <v>0</v>
      </c>
      <c r="K92" s="78">
        <v>0</v>
      </c>
      <c r="L92" s="36" t="e">
        <f t="shared" ca="1" si="45"/>
        <v>#N/A</v>
      </c>
      <c r="M92" s="37" t="e">
        <f t="shared" ca="1" si="43"/>
        <v>#N/A</v>
      </c>
      <c r="N92" s="37" t="e">
        <f t="shared" ca="1" si="44"/>
        <v>#N/A</v>
      </c>
      <c r="P92" s="35" t="e">
        <f t="shared" ca="1" si="51"/>
        <v>#N/A</v>
      </c>
      <c r="Q92" s="59" t="e">
        <f t="shared" ca="1" si="46"/>
        <v>#N/A</v>
      </c>
      <c r="R92" s="44" t="e">
        <f t="shared" ca="1" si="47"/>
        <v>#N/A</v>
      </c>
      <c r="S92" s="37" t="e">
        <f ca="1">IF(P92="","",IF(P92="Total",SUM($S$19:S91),VLOOKUP($P92,$B$12:$L146,11,FALSE)))</f>
        <v>#N/A</v>
      </c>
      <c r="T92" s="44" t="e">
        <f ca="1">IF(payfreq="Annually",IF(P92="","",IF(P92="Total",SUM($T$19:T91),Adj_Rate*$R92)),IF(payfreq="Semiannually",IF(P92="","",IF(P92="Total",SUM($T$19:T91),Adj_Rate/2*$R92)),IF(payfreq="Quarterly",IF(P92="","",IF(P92="Total",SUM($T$19:T91),Adj_Rate/4*$R92)),IF(payfreq="Monthly",IF(P92="","",IF(P92="Total",SUM($T$19:T91),Adj_Rate/12*$R92)),""))))</f>
        <v>#N/A</v>
      </c>
      <c r="U92" s="37" t="e">
        <f t="shared" ca="1" si="48"/>
        <v>#N/A</v>
      </c>
      <c r="V92" s="44" t="e">
        <f t="shared" ca="1" si="49"/>
        <v>#N/A</v>
      </c>
    </row>
    <row r="93" spans="2:22">
      <c r="B93" s="38">
        <v>74</v>
      </c>
      <c r="C93" s="77" t="e">
        <f t="shared" ca="1" si="50"/>
        <v>#N/A</v>
      </c>
      <c r="D93" s="78" t="e">
        <f ca="1">+IF(AND(B93&lt;$G$7),VLOOKUP($B$1,Inventory!$A$1:$BC$500,35,FALSE),IF(AND(B93=$G$7,pmt_timing="End"),VLOOKUP($B$1,Inventory!$A$1:$BC$500,35,FALSE),0))</f>
        <v>#N/A</v>
      </c>
      <c r="E93" s="78">
        <v>0</v>
      </c>
      <c r="F93" s="78">
        <v>0</v>
      </c>
      <c r="G93" s="78">
        <v>0</v>
      </c>
      <c r="H93" s="78">
        <v>0</v>
      </c>
      <c r="I93" s="78">
        <v>0</v>
      </c>
      <c r="J93" s="78">
        <v>0</v>
      </c>
      <c r="K93" s="78">
        <v>0</v>
      </c>
      <c r="L93" s="36" t="e">
        <f t="shared" ca="1" si="45"/>
        <v>#N/A</v>
      </c>
      <c r="M93" s="37" t="e">
        <f t="shared" ca="1" si="43"/>
        <v>#N/A</v>
      </c>
      <c r="N93" s="37" t="e">
        <f t="shared" ca="1" si="44"/>
        <v>#N/A</v>
      </c>
      <c r="P93" s="35" t="e">
        <f t="shared" ca="1" si="51"/>
        <v>#N/A</v>
      </c>
      <c r="Q93" s="59" t="e">
        <f t="shared" ca="1" si="46"/>
        <v>#N/A</v>
      </c>
      <c r="R93" s="44" t="e">
        <f t="shared" ca="1" si="47"/>
        <v>#N/A</v>
      </c>
      <c r="S93" s="37" t="e">
        <f ca="1">IF(P93="","",IF(P93="Total",SUM($S$19:S92),VLOOKUP($P93,$B$12:$L147,11,FALSE)))</f>
        <v>#N/A</v>
      </c>
      <c r="T93" s="44" t="e">
        <f ca="1">IF(payfreq="Annually",IF(P93="","",IF(P93="Total",SUM($T$19:T92),Adj_Rate*$R93)),IF(payfreq="Semiannually",IF(P93="","",IF(P93="Total",SUM($T$19:T92),Adj_Rate/2*$R93)),IF(payfreq="Quarterly",IF(P93="","",IF(P93="Total",SUM($T$19:T92),Adj_Rate/4*$R93)),IF(payfreq="Monthly",IF(P93="","",IF(P93="Total",SUM($T$19:T92),Adj_Rate/12*$R93)),""))))</f>
        <v>#N/A</v>
      </c>
      <c r="U93" s="37" t="e">
        <f t="shared" ca="1" si="48"/>
        <v>#N/A</v>
      </c>
      <c r="V93" s="44" t="e">
        <f t="shared" ca="1" si="49"/>
        <v>#N/A</v>
      </c>
    </row>
    <row r="94" spans="2:22">
      <c r="B94" s="38">
        <v>75</v>
      </c>
      <c r="C94" s="77" t="e">
        <f t="shared" ca="1" si="50"/>
        <v>#N/A</v>
      </c>
      <c r="D94" s="78" t="e">
        <f ca="1">+IF(AND(B94&lt;$G$7),VLOOKUP($B$1,Inventory!$A$1:$BC$500,35,FALSE),IF(AND(B94=$G$7,pmt_timing="End"),VLOOKUP($B$1,Inventory!$A$1:$BC$500,35,FALSE),0))</f>
        <v>#N/A</v>
      </c>
      <c r="E94" s="78">
        <v>0</v>
      </c>
      <c r="F94" s="78">
        <v>0</v>
      </c>
      <c r="G94" s="78">
        <v>0</v>
      </c>
      <c r="H94" s="78">
        <v>0</v>
      </c>
      <c r="I94" s="78">
        <v>0</v>
      </c>
      <c r="J94" s="78">
        <v>0</v>
      </c>
      <c r="K94" s="78">
        <v>0</v>
      </c>
      <c r="L94" s="36" t="e">
        <f t="shared" ca="1" si="45"/>
        <v>#N/A</v>
      </c>
      <c r="M94" s="37" t="e">
        <f t="shared" ca="1" si="43"/>
        <v>#N/A</v>
      </c>
      <c r="N94" s="37" t="e">
        <f t="shared" ca="1" si="44"/>
        <v>#N/A</v>
      </c>
      <c r="P94" s="35" t="e">
        <f t="shared" ca="1" si="51"/>
        <v>#N/A</v>
      </c>
      <c r="Q94" s="59" t="e">
        <f t="shared" ca="1" si="46"/>
        <v>#N/A</v>
      </c>
      <c r="R94" s="44" t="e">
        <f t="shared" ca="1" si="47"/>
        <v>#N/A</v>
      </c>
      <c r="S94" s="37" t="e">
        <f ca="1">IF(P94="","",IF(P94="Total",SUM($S$19:S93),VLOOKUP($P94,$B$12:$L148,11,FALSE)))</f>
        <v>#N/A</v>
      </c>
      <c r="T94" s="44" t="e">
        <f ca="1">IF(payfreq="Annually",IF(P94="","",IF(P94="Total",SUM($T$19:T93),Adj_Rate*$R94)),IF(payfreq="Semiannually",IF(P94="","",IF(P94="Total",SUM($T$19:T93),Adj_Rate/2*$R94)),IF(payfreq="Quarterly",IF(P94="","",IF(P94="Total",SUM($T$19:T93),Adj_Rate/4*$R94)),IF(payfreq="Monthly",IF(P94="","",IF(P94="Total",SUM($T$19:T93),Adj_Rate/12*$R94)),""))))</f>
        <v>#N/A</v>
      </c>
      <c r="U94" s="37" t="e">
        <f t="shared" ca="1" si="48"/>
        <v>#N/A</v>
      </c>
      <c r="V94" s="44" t="e">
        <f t="shared" ca="1" si="49"/>
        <v>#N/A</v>
      </c>
    </row>
    <row r="95" spans="2:22">
      <c r="B95" s="38">
        <v>76</v>
      </c>
      <c r="C95" s="77" t="e">
        <f t="shared" ca="1" si="50"/>
        <v>#N/A</v>
      </c>
      <c r="D95" s="78" t="e">
        <f ca="1">+IF(AND(B95&lt;$G$7),VLOOKUP($B$1,Inventory!$A$1:$BC$500,35,FALSE),IF(AND(B95=$G$7,pmt_timing="End"),VLOOKUP($B$1,Inventory!$A$1:$BC$500,35,FALSE),0))</f>
        <v>#N/A</v>
      </c>
      <c r="E95" s="78">
        <v>0</v>
      </c>
      <c r="F95" s="78">
        <v>0</v>
      </c>
      <c r="G95" s="78">
        <v>0</v>
      </c>
      <c r="H95" s="78">
        <v>0</v>
      </c>
      <c r="I95" s="78">
        <v>0</v>
      </c>
      <c r="J95" s="78">
        <v>0</v>
      </c>
      <c r="K95" s="78">
        <v>0</v>
      </c>
      <c r="L95" s="36" t="e">
        <f t="shared" ca="1" si="45"/>
        <v>#N/A</v>
      </c>
      <c r="M95" s="37" t="e">
        <f t="shared" ca="1" si="43"/>
        <v>#N/A</v>
      </c>
      <c r="N95" s="37" t="e">
        <f t="shared" ca="1" si="44"/>
        <v>#N/A</v>
      </c>
      <c r="P95" s="35" t="e">
        <f t="shared" ca="1" si="51"/>
        <v>#N/A</v>
      </c>
      <c r="Q95" s="59" t="e">
        <f t="shared" ca="1" si="46"/>
        <v>#N/A</v>
      </c>
      <c r="R95" s="44" t="e">
        <f t="shared" ca="1" si="47"/>
        <v>#N/A</v>
      </c>
      <c r="S95" s="37" t="e">
        <f ca="1">IF(P95="","",IF(P95="Total",SUM($S$19:S94),VLOOKUP($P95,$B$12:$L149,11,FALSE)))</f>
        <v>#N/A</v>
      </c>
      <c r="T95" s="44" t="e">
        <f ca="1">IF(payfreq="Annually",IF(P95="","",IF(P95="Total",SUM($T$19:T94),Adj_Rate*$R95)),IF(payfreq="Semiannually",IF(P95="","",IF(P95="Total",SUM($T$19:T94),Adj_Rate/2*$R95)),IF(payfreq="Quarterly",IF(P95="","",IF(P95="Total",SUM($T$19:T94),Adj_Rate/4*$R95)),IF(payfreq="Monthly",IF(P95="","",IF(P95="Total",SUM($T$19:T94),Adj_Rate/12*$R95)),""))))</f>
        <v>#N/A</v>
      </c>
      <c r="U95" s="37" t="e">
        <f t="shared" ca="1" si="48"/>
        <v>#N/A</v>
      </c>
      <c r="V95" s="44" t="e">
        <f t="shared" ca="1" si="49"/>
        <v>#N/A</v>
      </c>
    </row>
    <row r="96" spans="2:22">
      <c r="B96" s="38">
        <v>77</v>
      </c>
      <c r="C96" s="77" t="e">
        <f t="shared" ca="1" si="50"/>
        <v>#N/A</v>
      </c>
      <c r="D96" s="78" t="e">
        <f ca="1">+IF(AND(B96&lt;$G$7),VLOOKUP($B$1,Inventory!$A$1:$BC$500,35,FALSE),IF(AND(B96=$G$7,pmt_timing="End"),VLOOKUP($B$1,Inventory!$A$1:$BC$500,35,FALSE),0))</f>
        <v>#N/A</v>
      </c>
      <c r="E96" s="78">
        <v>0</v>
      </c>
      <c r="F96" s="78">
        <v>0</v>
      </c>
      <c r="G96" s="78">
        <v>0</v>
      </c>
      <c r="H96" s="78">
        <v>0</v>
      </c>
      <c r="I96" s="78">
        <v>0</v>
      </c>
      <c r="J96" s="78">
        <v>0</v>
      </c>
      <c r="K96" s="78">
        <v>0</v>
      </c>
      <c r="L96" s="36" t="e">
        <f t="shared" ca="1" si="45"/>
        <v>#N/A</v>
      </c>
      <c r="M96" s="37" t="e">
        <f t="shared" ca="1" si="43"/>
        <v>#N/A</v>
      </c>
      <c r="N96" s="37" t="e">
        <f t="shared" ca="1" si="44"/>
        <v>#N/A</v>
      </c>
      <c r="P96" s="35" t="e">
        <f t="shared" ca="1" si="51"/>
        <v>#N/A</v>
      </c>
      <c r="Q96" s="59" t="e">
        <f t="shared" ca="1" si="46"/>
        <v>#N/A</v>
      </c>
      <c r="R96" s="44" t="e">
        <f t="shared" ca="1" si="47"/>
        <v>#N/A</v>
      </c>
      <c r="S96" s="37" t="e">
        <f ca="1">IF(P96="","",IF(P96="Total",SUM($S$19:S95),VLOOKUP($P96,$B$12:$L150,11,FALSE)))</f>
        <v>#N/A</v>
      </c>
      <c r="T96" s="44" t="e">
        <f ca="1">IF(payfreq="Annually",IF(P96="","",IF(P96="Total",SUM($T$19:T95),Adj_Rate*$R96)),IF(payfreq="Semiannually",IF(P96="","",IF(P96="Total",SUM($T$19:T95),Adj_Rate/2*$R96)),IF(payfreq="Quarterly",IF(P96="","",IF(P96="Total",SUM($T$19:T95),Adj_Rate/4*$R96)),IF(payfreq="Monthly",IF(P96="","",IF(P96="Total",SUM($T$19:T95),Adj_Rate/12*$R96)),""))))</f>
        <v>#N/A</v>
      </c>
      <c r="U96" s="37" t="e">
        <f t="shared" ca="1" si="48"/>
        <v>#N/A</v>
      </c>
      <c r="V96" s="44" t="e">
        <f t="shared" ca="1" si="49"/>
        <v>#N/A</v>
      </c>
    </row>
    <row r="97" spans="2:22">
      <c r="B97" s="38">
        <v>78</v>
      </c>
      <c r="C97" s="77" t="e">
        <f t="shared" ca="1" si="50"/>
        <v>#N/A</v>
      </c>
      <c r="D97" s="78" t="e">
        <f ca="1">+IF(AND(B97&lt;$G$7),VLOOKUP($B$1,Inventory!$A$1:$BC$500,35,FALSE),IF(AND(B97=$G$7,pmt_timing="End"),VLOOKUP($B$1,Inventory!$A$1:$BC$500,35,FALSE),0))</f>
        <v>#N/A</v>
      </c>
      <c r="E97" s="78">
        <v>0</v>
      </c>
      <c r="F97" s="78">
        <v>0</v>
      </c>
      <c r="G97" s="78">
        <v>0</v>
      </c>
      <c r="H97" s="78">
        <v>0</v>
      </c>
      <c r="I97" s="78">
        <v>0</v>
      </c>
      <c r="J97" s="78">
        <v>0</v>
      </c>
      <c r="K97" s="78">
        <v>0</v>
      </c>
      <c r="L97" s="36" t="e">
        <f t="shared" ca="1" si="45"/>
        <v>#N/A</v>
      </c>
      <c r="M97" s="37" t="e">
        <f t="shared" ca="1" si="43"/>
        <v>#N/A</v>
      </c>
      <c r="N97" s="37" t="e">
        <f t="shared" ca="1" si="44"/>
        <v>#N/A</v>
      </c>
      <c r="P97" s="35" t="e">
        <f t="shared" ca="1" si="51"/>
        <v>#N/A</v>
      </c>
      <c r="Q97" s="59" t="e">
        <f t="shared" ca="1" si="46"/>
        <v>#N/A</v>
      </c>
      <c r="R97" s="44" t="e">
        <f t="shared" ca="1" si="47"/>
        <v>#N/A</v>
      </c>
      <c r="S97" s="37" t="e">
        <f ca="1">IF(P97="","",IF(P97="Total",SUM($S$19:S96),VLOOKUP($P97,$B$12:$L151,11,FALSE)))</f>
        <v>#N/A</v>
      </c>
      <c r="T97" s="44" t="e">
        <f ca="1">IF(payfreq="Annually",IF(P97="","",IF(P97="Total",SUM($T$19:T96),Adj_Rate*$R97)),IF(payfreq="Semiannually",IF(P97="","",IF(P97="Total",SUM($T$19:T96),Adj_Rate/2*$R97)),IF(payfreq="Quarterly",IF(P97="","",IF(P97="Total",SUM($T$19:T96),Adj_Rate/4*$R97)),IF(payfreq="Monthly",IF(P97="","",IF(P97="Total",SUM($T$19:T96),Adj_Rate/12*$R97)),""))))</f>
        <v>#N/A</v>
      </c>
      <c r="U97" s="37" t="e">
        <f t="shared" ca="1" si="48"/>
        <v>#N/A</v>
      </c>
      <c r="V97" s="44" t="e">
        <f t="shared" ca="1" si="49"/>
        <v>#N/A</v>
      </c>
    </row>
    <row r="98" spans="2:22">
      <c r="B98" s="38">
        <v>79</v>
      </c>
      <c r="C98" s="77" t="e">
        <f t="shared" ca="1" si="50"/>
        <v>#N/A</v>
      </c>
      <c r="D98" s="78" t="e">
        <f ca="1">+IF(AND(B98&lt;$G$7),VLOOKUP($B$1,Inventory!$A$1:$BC$500,35,FALSE),IF(AND(B98=$G$7,pmt_timing="End"),VLOOKUP($B$1,Inventory!$A$1:$BC$500,35,FALSE),0))</f>
        <v>#N/A</v>
      </c>
      <c r="E98" s="78">
        <v>0</v>
      </c>
      <c r="F98" s="78">
        <v>0</v>
      </c>
      <c r="G98" s="78">
        <v>0</v>
      </c>
      <c r="H98" s="78">
        <v>0</v>
      </c>
      <c r="I98" s="78">
        <v>0</v>
      </c>
      <c r="J98" s="78">
        <v>0</v>
      </c>
      <c r="K98" s="78">
        <v>0</v>
      </c>
      <c r="L98" s="36" t="e">
        <f t="shared" ca="1" si="45"/>
        <v>#N/A</v>
      </c>
      <c r="M98" s="37" t="e">
        <f t="shared" ca="1" si="43"/>
        <v>#N/A</v>
      </c>
      <c r="N98" s="37" t="e">
        <f t="shared" ca="1" si="44"/>
        <v>#N/A</v>
      </c>
      <c r="P98" s="35" t="e">
        <f t="shared" ca="1" si="51"/>
        <v>#N/A</v>
      </c>
      <c r="Q98" s="59" t="e">
        <f t="shared" ca="1" si="46"/>
        <v>#N/A</v>
      </c>
      <c r="R98" s="44" t="e">
        <f t="shared" ca="1" si="47"/>
        <v>#N/A</v>
      </c>
      <c r="S98" s="37" t="e">
        <f ca="1">IF(P98="","",IF(P98="Total",SUM($S$19:S97),VLOOKUP($P98,$B$12:$L152,11,FALSE)))</f>
        <v>#N/A</v>
      </c>
      <c r="T98" s="44" t="e">
        <f ca="1">IF(payfreq="Annually",IF(P98="","",IF(P98="Total",SUM($T$19:T97),Adj_Rate*$R98)),IF(payfreq="Semiannually",IF(P98="","",IF(P98="Total",SUM($T$19:T97),Adj_Rate/2*$R98)),IF(payfreq="Quarterly",IF(P98="","",IF(P98="Total",SUM($T$19:T97),Adj_Rate/4*$R98)),IF(payfreq="Monthly",IF(P98="","",IF(P98="Total",SUM($T$19:T97),Adj_Rate/12*$R98)),""))))</f>
        <v>#N/A</v>
      </c>
      <c r="U98" s="37" t="e">
        <f t="shared" ca="1" si="48"/>
        <v>#N/A</v>
      </c>
      <c r="V98" s="44" t="e">
        <f t="shared" ca="1" si="49"/>
        <v>#N/A</v>
      </c>
    </row>
    <row r="99" spans="2:22">
      <c r="B99" s="38">
        <v>80</v>
      </c>
      <c r="C99" s="77" t="e">
        <f t="shared" ca="1" si="50"/>
        <v>#N/A</v>
      </c>
      <c r="D99" s="78" t="e">
        <f ca="1">+IF(AND(B99&lt;$G$7),VLOOKUP($B$1,Inventory!$A$1:$BC$500,35,FALSE),IF(AND(B99=$G$7,pmt_timing="End"),VLOOKUP($B$1,Inventory!$A$1:$BC$500,35,FALSE),0))</f>
        <v>#N/A</v>
      </c>
      <c r="E99" s="78">
        <v>0</v>
      </c>
      <c r="F99" s="78">
        <v>0</v>
      </c>
      <c r="G99" s="78">
        <v>0</v>
      </c>
      <c r="H99" s="78">
        <v>0</v>
      </c>
      <c r="I99" s="78">
        <v>0</v>
      </c>
      <c r="J99" s="78">
        <v>0</v>
      </c>
      <c r="K99" s="78">
        <v>0</v>
      </c>
      <c r="L99" s="36" t="e">
        <f t="shared" ca="1" si="45"/>
        <v>#N/A</v>
      </c>
      <c r="M99" s="37" t="e">
        <f t="shared" ca="1" si="43"/>
        <v>#N/A</v>
      </c>
      <c r="N99" s="37" t="e">
        <f t="shared" ca="1" si="44"/>
        <v>#N/A</v>
      </c>
      <c r="P99" s="35" t="e">
        <f t="shared" ca="1" si="51"/>
        <v>#N/A</v>
      </c>
      <c r="Q99" s="59" t="e">
        <f t="shared" ca="1" si="46"/>
        <v>#N/A</v>
      </c>
      <c r="R99" s="44" t="e">
        <f t="shared" ca="1" si="47"/>
        <v>#N/A</v>
      </c>
      <c r="S99" s="37" t="e">
        <f ca="1">IF(P99="","",IF(P99="Total",SUM($S$19:S98),VLOOKUP($P99,$B$12:$L153,11,FALSE)))</f>
        <v>#N/A</v>
      </c>
      <c r="T99" s="44" t="e">
        <f ca="1">IF(payfreq="Annually",IF(P99="","",IF(P99="Total",SUM($T$19:T98),Adj_Rate*$R99)),IF(payfreq="Semiannually",IF(P99="","",IF(P99="Total",SUM($T$19:T98),Adj_Rate/2*$R99)),IF(payfreq="Quarterly",IF(P99="","",IF(P99="Total",SUM($T$19:T98),Adj_Rate/4*$R99)),IF(payfreq="Monthly",IF(P99="","",IF(P99="Total",SUM($T$19:T98),Adj_Rate/12*$R99)),""))))</f>
        <v>#N/A</v>
      </c>
      <c r="U99" s="37" t="e">
        <f t="shared" ca="1" si="48"/>
        <v>#N/A</v>
      </c>
      <c r="V99" s="44" t="e">
        <f t="shared" ca="1" si="49"/>
        <v>#N/A</v>
      </c>
    </row>
    <row r="100" spans="2:22">
      <c r="B100" s="38">
        <v>81</v>
      </c>
      <c r="C100" s="77" t="e">
        <f t="shared" ca="1" si="50"/>
        <v>#N/A</v>
      </c>
      <c r="D100" s="78" t="e">
        <f ca="1">+IF(AND(B100&lt;$G$7),VLOOKUP($B$1,Inventory!$A$1:$BC$500,35,FALSE),IF(AND(B100=$G$7,pmt_timing="End"),VLOOKUP($B$1,Inventory!$A$1:$BC$500,35,FALSE),0))</f>
        <v>#N/A</v>
      </c>
      <c r="E100" s="78">
        <v>0</v>
      </c>
      <c r="F100" s="78">
        <v>0</v>
      </c>
      <c r="G100" s="78">
        <v>0</v>
      </c>
      <c r="H100" s="78">
        <v>0</v>
      </c>
      <c r="I100" s="78">
        <v>0</v>
      </c>
      <c r="J100" s="78">
        <v>0</v>
      </c>
      <c r="K100" s="78">
        <v>0</v>
      </c>
      <c r="L100" s="36" t="e">
        <f t="shared" ca="1" si="45"/>
        <v>#N/A</v>
      </c>
      <c r="M100" s="37" t="e">
        <f t="shared" ca="1" si="43"/>
        <v>#N/A</v>
      </c>
      <c r="N100" s="37" t="e">
        <f t="shared" ca="1" si="44"/>
        <v>#N/A</v>
      </c>
      <c r="P100" s="35" t="e">
        <f t="shared" ca="1" si="51"/>
        <v>#N/A</v>
      </c>
      <c r="Q100" s="59" t="e">
        <f t="shared" ca="1" si="46"/>
        <v>#N/A</v>
      </c>
      <c r="R100" s="44" t="e">
        <f t="shared" ca="1" si="47"/>
        <v>#N/A</v>
      </c>
      <c r="S100" s="37" t="e">
        <f ca="1">IF(P100="","",IF(P100="Total",SUM($S$19:S99),VLOOKUP($P100,$B$12:$L154,11,FALSE)))</f>
        <v>#N/A</v>
      </c>
      <c r="T100" s="44" t="e">
        <f ca="1">IF(payfreq="Annually",IF(P100="","",IF(P100="Total",SUM($T$19:T99),Adj_Rate*$R100)),IF(payfreq="Semiannually",IF(P100="","",IF(P100="Total",SUM($T$19:T99),Adj_Rate/2*$R100)),IF(payfreq="Quarterly",IF(P100="","",IF(P100="Total",SUM($T$19:T99),Adj_Rate/4*$R100)),IF(payfreq="Monthly",IF(P100="","",IF(P100="Total",SUM($T$19:T99),Adj_Rate/12*$R100)),""))))</f>
        <v>#N/A</v>
      </c>
      <c r="U100" s="37" t="e">
        <f t="shared" ca="1" si="48"/>
        <v>#N/A</v>
      </c>
      <c r="V100" s="44" t="e">
        <f t="shared" ca="1" si="49"/>
        <v>#N/A</v>
      </c>
    </row>
    <row r="101" spans="2:22">
      <c r="B101" s="38">
        <v>82</v>
      </c>
      <c r="C101" s="77" t="e">
        <f t="shared" ca="1" si="50"/>
        <v>#N/A</v>
      </c>
      <c r="D101" s="78" t="e">
        <f ca="1">+IF(AND(B101&lt;$G$7),VLOOKUP($B$1,Inventory!$A$1:$BC$500,35,FALSE),IF(AND(B101=$G$7,pmt_timing="End"),VLOOKUP($B$1,Inventory!$A$1:$BC$500,35,FALSE),0))</f>
        <v>#N/A</v>
      </c>
      <c r="E101" s="78">
        <v>0</v>
      </c>
      <c r="F101" s="78">
        <v>0</v>
      </c>
      <c r="G101" s="78">
        <v>0</v>
      </c>
      <c r="H101" s="78">
        <v>0</v>
      </c>
      <c r="I101" s="78">
        <v>0</v>
      </c>
      <c r="J101" s="78">
        <v>0</v>
      </c>
      <c r="K101" s="78">
        <v>0</v>
      </c>
      <c r="L101" s="36" t="e">
        <f t="shared" ca="1" si="45"/>
        <v>#N/A</v>
      </c>
      <c r="M101" s="37" t="e">
        <f t="shared" ca="1" si="43"/>
        <v>#N/A</v>
      </c>
      <c r="N101" s="37" t="e">
        <f t="shared" ca="1" si="44"/>
        <v>#N/A</v>
      </c>
      <c r="P101" s="35" t="e">
        <f t="shared" ca="1" si="51"/>
        <v>#N/A</v>
      </c>
      <c r="Q101" s="59" t="e">
        <f t="shared" ca="1" si="46"/>
        <v>#N/A</v>
      </c>
      <c r="R101" s="44" t="e">
        <f t="shared" ca="1" si="47"/>
        <v>#N/A</v>
      </c>
      <c r="S101" s="37" t="e">
        <f ca="1">IF(P101="","",IF(P101="Total",SUM($S$19:S100),VLOOKUP($P101,$B$12:$L155,11,FALSE)))</f>
        <v>#N/A</v>
      </c>
      <c r="T101" s="44" t="e">
        <f ca="1">IF(payfreq="Annually",IF(P101="","",IF(P101="Total",SUM($T$19:T100),Adj_Rate*$R101)),IF(payfreq="Semiannually",IF(P101="","",IF(P101="Total",SUM($T$19:T100),Adj_Rate/2*$R101)),IF(payfreq="Quarterly",IF(P101="","",IF(P101="Total",SUM($T$19:T100),Adj_Rate/4*$R101)),IF(payfreq="Monthly",IF(P101="","",IF(P101="Total",SUM($T$19:T100),Adj_Rate/12*$R101)),""))))</f>
        <v>#N/A</v>
      </c>
      <c r="U101" s="37" t="e">
        <f t="shared" ca="1" si="48"/>
        <v>#N/A</v>
      </c>
      <c r="V101" s="44" t="e">
        <f t="shared" ca="1" si="49"/>
        <v>#N/A</v>
      </c>
    </row>
    <row r="102" spans="2:22">
      <c r="B102" s="38">
        <v>83</v>
      </c>
      <c r="C102" s="77" t="e">
        <f t="shared" ca="1" si="50"/>
        <v>#N/A</v>
      </c>
      <c r="D102" s="78" t="e">
        <f ca="1">+IF(AND(B102&lt;$G$7),VLOOKUP($B$1,Inventory!$A$1:$BC$500,35,FALSE),IF(AND(B102=$G$7,pmt_timing="End"),VLOOKUP($B$1,Inventory!$A$1:$BC$500,35,FALSE),0))</f>
        <v>#N/A</v>
      </c>
      <c r="E102" s="78">
        <v>0</v>
      </c>
      <c r="F102" s="78">
        <v>0</v>
      </c>
      <c r="G102" s="78">
        <v>0</v>
      </c>
      <c r="H102" s="78">
        <v>0</v>
      </c>
      <c r="I102" s="78">
        <v>0</v>
      </c>
      <c r="J102" s="78">
        <v>0</v>
      </c>
      <c r="K102" s="78">
        <v>0</v>
      </c>
      <c r="L102" s="36" t="e">
        <f t="shared" ca="1" si="45"/>
        <v>#N/A</v>
      </c>
      <c r="M102" s="37" t="e">
        <f t="shared" ca="1" si="43"/>
        <v>#N/A</v>
      </c>
      <c r="N102" s="37" t="e">
        <f t="shared" ca="1" si="44"/>
        <v>#N/A</v>
      </c>
      <c r="P102" s="35" t="e">
        <f t="shared" ca="1" si="51"/>
        <v>#N/A</v>
      </c>
      <c r="Q102" s="59" t="e">
        <f t="shared" ca="1" si="46"/>
        <v>#N/A</v>
      </c>
      <c r="R102" s="44" t="e">
        <f t="shared" ca="1" si="47"/>
        <v>#N/A</v>
      </c>
      <c r="S102" s="37" t="e">
        <f ca="1">IF(P102="","",IF(P102="Total",SUM($S$19:S101),VLOOKUP($P102,$B$12:$L156,11,FALSE)))</f>
        <v>#N/A</v>
      </c>
      <c r="T102" s="44" t="e">
        <f ca="1">IF(payfreq="Annually",IF(P102="","",IF(P102="Total",SUM($T$19:T101),Adj_Rate*$R102)),IF(payfreq="Semiannually",IF(P102="","",IF(P102="Total",SUM($T$19:T101),Adj_Rate/2*$R102)),IF(payfreq="Quarterly",IF(P102="","",IF(P102="Total",SUM($T$19:T101),Adj_Rate/4*$R102)),IF(payfreq="Monthly",IF(P102="","",IF(P102="Total",SUM($T$19:T101),Adj_Rate/12*$R102)),""))))</f>
        <v>#N/A</v>
      </c>
      <c r="U102" s="37" t="e">
        <f t="shared" ca="1" si="48"/>
        <v>#N/A</v>
      </c>
      <c r="V102" s="44" t="e">
        <f t="shared" ca="1" si="49"/>
        <v>#N/A</v>
      </c>
    </row>
    <row r="103" spans="2:22">
      <c r="B103" s="38">
        <v>84</v>
      </c>
      <c r="C103" s="77" t="e">
        <f t="shared" ca="1" si="50"/>
        <v>#N/A</v>
      </c>
      <c r="D103" s="78" t="e">
        <f ca="1">+IF(AND(B103&lt;$G$7),VLOOKUP($B$1,Inventory!$A$1:$BC$500,35,FALSE),IF(AND(B103=$G$7,pmt_timing="End"),VLOOKUP($B$1,Inventory!$A$1:$BC$500,35,FALSE),0))</f>
        <v>#N/A</v>
      </c>
      <c r="E103" s="78">
        <v>0</v>
      </c>
      <c r="F103" s="78">
        <v>0</v>
      </c>
      <c r="G103" s="78">
        <v>0</v>
      </c>
      <c r="H103" s="78">
        <v>0</v>
      </c>
      <c r="I103" s="78">
        <v>0</v>
      </c>
      <c r="J103" s="78">
        <v>0</v>
      </c>
      <c r="K103" s="78">
        <v>0</v>
      </c>
      <c r="L103" s="36" t="e">
        <f t="shared" ca="1" si="45"/>
        <v>#N/A</v>
      </c>
      <c r="M103" s="37" t="e">
        <f t="shared" ca="1" si="43"/>
        <v>#N/A</v>
      </c>
      <c r="N103" s="37" t="e">
        <f t="shared" ca="1" si="44"/>
        <v>#N/A</v>
      </c>
      <c r="P103" s="35" t="e">
        <f t="shared" ca="1" si="51"/>
        <v>#N/A</v>
      </c>
      <c r="Q103" s="59" t="e">
        <f t="shared" ca="1" si="46"/>
        <v>#N/A</v>
      </c>
      <c r="R103" s="44" t="e">
        <f t="shared" ca="1" si="47"/>
        <v>#N/A</v>
      </c>
      <c r="S103" s="37" t="e">
        <f ca="1">IF(P103="","",IF(P103="Total",SUM($S$19:S102),VLOOKUP($P103,$B$12:$L157,11,FALSE)))</f>
        <v>#N/A</v>
      </c>
      <c r="T103" s="44" t="e">
        <f ca="1">IF(payfreq="Annually",IF(P103="","",IF(P103="Total",SUM($T$19:T102),Adj_Rate*$R103)),IF(payfreq="Semiannually",IF(P103="","",IF(P103="Total",SUM($T$19:T102),Adj_Rate/2*$R103)),IF(payfreq="Quarterly",IF(P103="","",IF(P103="Total",SUM($T$19:T102),Adj_Rate/4*$R103)),IF(payfreq="Monthly",IF(P103="","",IF(P103="Total",SUM($T$19:T102),Adj_Rate/12*$R103)),""))))</f>
        <v>#N/A</v>
      </c>
      <c r="U103" s="37" t="e">
        <f t="shared" ca="1" si="48"/>
        <v>#N/A</v>
      </c>
      <c r="V103" s="44" t="e">
        <f t="shared" ca="1" si="49"/>
        <v>#N/A</v>
      </c>
    </row>
    <row r="104" spans="2:22">
      <c r="B104" s="38">
        <v>85</v>
      </c>
      <c r="C104" s="77" t="e">
        <f t="shared" ca="1" si="50"/>
        <v>#N/A</v>
      </c>
      <c r="D104" s="78" t="e">
        <f ca="1">+IF(AND(B104&lt;$G$7),VLOOKUP($B$1,Inventory!$A$1:$BC$500,35,FALSE),IF(AND(B104=$G$7,pmt_timing="End"),VLOOKUP($B$1,Inventory!$A$1:$BC$500,35,FALSE),0))</f>
        <v>#N/A</v>
      </c>
      <c r="E104" s="78">
        <v>0</v>
      </c>
      <c r="F104" s="78">
        <v>0</v>
      </c>
      <c r="G104" s="78">
        <v>0</v>
      </c>
      <c r="H104" s="78">
        <v>0</v>
      </c>
      <c r="I104" s="78">
        <v>0</v>
      </c>
      <c r="J104" s="78">
        <v>0</v>
      </c>
      <c r="K104" s="78">
        <v>0</v>
      </c>
      <c r="L104" s="36" t="e">
        <f t="shared" ca="1" si="45"/>
        <v>#N/A</v>
      </c>
      <c r="M104" s="37" t="e">
        <f t="shared" ca="1" si="43"/>
        <v>#N/A</v>
      </c>
      <c r="N104" s="37" t="e">
        <f t="shared" ca="1" si="44"/>
        <v>#N/A</v>
      </c>
      <c r="P104" s="35" t="e">
        <f t="shared" ca="1" si="51"/>
        <v>#N/A</v>
      </c>
      <c r="Q104" s="59" t="e">
        <f t="shared" ca="1" si="46"/>
        <v>#N/A</v>
      </c>
      <c r="R104" s="44" t="e">
        <f t="shared" ca="1" si="47"/>
        <v>#N/A</v>
      </c>
      <c r="S104" s="37" t="e">
        <f ca="1">IF(P104="","",IF(P104="Total",SUM($S$19:S103),VLOOKUP($P104,$B$12:$L158,11,FALSE)))</f>
        <v>#N/A</v>
      </c>
      <c r="T104" s="44" t="e">
        <f ca="1">IF(payfreq="Annually",IF(P104="","",IF(P104="Total",SUM($T$19:T103),Adj_Rate*$R104)),IF(payfreq="Semiannually",IF(P104="","",IF(P104="Total",SUM($T$19:T103),Adj_Rate/2*$R104)),IF(payfreq="Quarterly",IF(P104="","",IF(P104="Total",SUM($T$19:T103),Adj_Rate/4*$R104)),IF(payfreq="Monthly",IF(P104="","",IF(P104="Total",SUM($T$19:T103),Adj_Rate/12*$R104)),""))))</f>
        <v>#N/A</v>
      </c>
      <c r="U104" s="37" t="e">
        <f t="shared" ca="1" si="48"/>
        <v>#N/A</v>
      </c>
      <c r="V104" s="44" t="e">
        <f t="shared" ca="1" si="49"/>
        <v>#N/A</v>
      </c>
    </row>
    <row r="105" spans="2:22">
      <c r="B105" s="38">
        <v>86</v>
      </c>
      <c r="C105" s="77" t="e">
        <f t="shared" ca="1" si="50"/>
        <v>#N/A</v>
      </c>
      <c r="D105" s="78" t="e">
        <f ca="1">+IF(AND(B105&lt;$G$7),VLOOKUP($B$1,Inventory!$A$1:$BC$500,35,FALSE),IF(AND(B105=$G$7,pmt_timing="End"),VLOOKUP($B$1,Inventory!$A$1:$BC$500,35,FALSE),0))</f>
        <v>#N/A</v>
      </c>
      <c r="E105" s="78">
        <v>0</v>
      </c>
      <c r="F105" s="78">
        <v>0</v>
      </c>
      <c r="G105" s="78">
        <v>0</v>
      </c>
      <c r="H105" s="78">
        <v>0</v>
      </c>
      <c r="I105" s="78">
        <v>0</v>
      </c>
      <c r="J105" s="78">
        <v>0</v>
      </c>
      <c r="K105" s="78">
        <v>0</v>
      </c>
      <c r="L105" s="36" t="e">
        <f t="shared" ca="1" si="45"/>
        <v>#N/A</v>
      </c>
      <c r="M105" s="37" t="e">
        <f t="shared" ca="1" si="43"/>
        <v>#N/A</v>
      </c>
      <c r="N105" s="37" t="e">
        <f t="shared" ca="1" si="44"/>
        <v>#N/A</v>
      </c>
      <c r="P105" s="35" t="e">
        <f t="shared" ca="1" si="51"/>
        <v>#N/A</v>
      </c>
      <c r="Q105" s="59" t="e">
        <f t="shared" ca="1" si="46"/>
        <v>#N/A</v>
      </c>
      <c r="R105" s="44" t="e">
        <f t="shared" ca="1" si="47"/>
        <v>#N/A</v>
      </c>
      <c r="S105" s="37" t="e">
        <f ca="1">IF(P105="","",IF(P105="Total",SUM($S$19:S104),VLOOKUP($P105,$B$12:$L159,11,FALSE)))</f>
        <v>#N/A</v>
      </c>
      <c r="T105" s="44" t="e">
        <f ca="1">IF(payfreq="Annually",IF(P105="","",IF(P105="Total",SUM($T$19:T104),Adj_Rate*$R105)),IF(payfreq="Semiannually",IF(P105="","",IF(P105="Total",SUM($T$19:T104),Adj_Rate/2*$R105)),IF(payfreq="Quarterly",IF(P105="","",IF(P105="Total",SUM($T$19:T104),Adj_Rate/4*$R105)),IF(payfreq="Monthly",IF(P105="","",IF(P105="Total",SUM($T$19:T104),Adj_Rate/12*$R105)),""))))</f>
        <v>#N/A</v>
      </c>
      <c r="U105" s="37" t="e">
        <f t="shared" ca="1" si="48"/>
        <v>#N/A</v>
      </c>
      <c r="V105" s="44" t="e">
        <f t="shared" ca="1" si="49"/>
        <v>#N/A</v>
      </c>
    </row>
    <row r="106" spans="2:22">
      <c r="B106" s="38">
        <v>87</v>
      </c>
      <c r="C106" s="77" t="e">
        <f t="shared" ca="1" si="50"/>
        <v>#N/A</v>
      </c>
      <c r="D106" s="78" t="e">
        <f ca="1">+IF(AND(B106&lt;$G$7),VLOOKUP($B$1,Inventory!$A$1:$BC$500,35,FALSE),IF(AND(B106=$G$7,pmt_timing="End"),VLOOKUP($B$1,Inventory!$A$1:$BC$500,35,FALSE),0))</f>
        <v>#N/A</v>
      </c>
      <c r="E106" s="78">
        <v>0</v>
      </c>
      <c r="F106" s="78">
        <v>0</v>
      </c>
      <c r="G106" s="78">
        <v>0</v>
      </c>
      <c r="H106" s="78">
        <v>0</v>
      </c>
      <c r="I106" s="78">
        <v>0</v>
      </c>
      <c r="J106" s="78">
        <v>0</v>
      </c>
      <c r="K106" s="78">
        <v>0</v>
      </c>
      <c r="L106" s="36" t="e">
        <f t="shared" ca="1" si="45"/>
        <v>#N/A</v>
      </c>
      <c r="M106" s="37" t="e">
        <f t="shared" ca="1" si="43"/>
        <v>#N/A</v>
      </c>
      <c r="N106" s="37" t="e">
        <f t="shared" ca="1" si="44"/>
        <v>#N/A</v>
      </c>
      <c r="P106" s="35" t="e">
        <f t="shared" ca="1" si="51"/>
        <v>#N/A</v>
      </c>
      <c r="Q106" s="59" t="e">
        <f t="shared" ca="1" si="46"/>
        <v>#N/A</v>
      </c>
      <c r="R106" s="44" t="e">
        <f t="shared" ca="1" si="47"/>
        <v>#N/A</v>
      </c>
      <c r="S106" s="37" t="e">
        <f ca="1">IF(P106="","",IF(P106="Total",SUM($S$19:S105),VLOOKUP($P106,$B$12:$L160,11,FALSE)))</f>
        <v>#N/A</v>
      </c>
      <c r="T106" s="44" t="e">
        <f ca="1">IF(payfreq="Annually",IF(P106="","",IF(P106="Total",SUM($T$19:T105),Adj_Rate*$R106)),IF(payfreq="Semiannually",IF(P106="","",IF(P106="Total",SUM($T$19:T105),Adj_Rate/2*$R106)),IF(payfreq="Quarterly",IF(P106="","",IF(P106="Total",SUM($T$19:T105),Adj_Rate/4*$R106)),IF(payfreq="Monthly",IF(P106="","",IF(P106="Total",SUM($T$19:T105),Adj_Rate/12*$R106)),""))))</f>
        <v>#N/A</v>
      </c>
      <c r="U106" s="37" t="e">
        <f t="shared" ca="1" si="48"/>
        <v>#N/A</v>
      </c>
      <c r="V106" s="44" t="e">
        <f t="shared" ca="1" si="49"/>
        <v>#N/A</v>
      </c>
    </row>
    <row r="107" spans="2:22">
      <c r="B107" s="38">
        <v>88</v>
      </c>
      <c r="C107" s="77" t="e">
        <f t="shared" ca="1" si="50"/>
        <v>#N/A</v>
      </c>
      <c r="D107" s="78" t="e">
        <f ca="1">+IF(AND(B107&lt;$G$7),VLOOKUP($B$1,Inventory!$A$1:$BC$500,35,FALSE),IF(AND(B107=$G$7,pmt_timing="End"),VLOOKUP($B$1,Inventory!$A$1:$BC$500,35,FALSE),0))</f>
        <v>#N/A</v>
      </c>
      <c r="E107" s="78">
        <v>0</v>
      </c>
      <c r="F107" s="78">
        <v>0</v>
      </c>
      <c r="G107" s="78">
        <v>0</v>
      </c>
      <c r="H107" s="78">
        <v>0</v>
      </c>
      <c r="I107" s="78">
        <v>0</v>
      </c>
      <c r="J107" s="78">
        <v>0</v>
      </c>
      <c r="K107" s="78">
        <v>0</v>
      </c>
      <c r="L107" s="36" t="e">
        <f t="shared" ca="1" si="45"/>
        <v>#N/A</v>
      </c>
      <c r="M107" s="37" t="e">
        <f t="shared" ca="1" si="43"/>
        <v>#N/A</v>
      </c>
      <c r="N107" s="37" t="e">
        <f t="shared" ca="1" si="44"/>
        <v>#N/A</v>
      </c>
      <c r="P107" s="35" t="e">
        <f t="shared" ca="1" si="51"/>
        <v>#N/A</v>
      </c>
      <c r="Q107" s="59" t="e">
        <f t="shared" ca="1" si="46"/>
        <v>#N/A</v>
      </c>
      <c r="R107" s="44" t="e">
        <f t="shared" ca="1" si="47"/>
        <v>#N/A</v>
      </c>
      <c r="S107" s="37" t="e">
        <f ca="1">IF(P107="","",IF(P107="Total",SUM($S$19:S106),VLOOKUP($P107,$B$12:$L161,11,FALSE)))</f>
        <v>#N/A</v>
      </c>
      <c r="T107" s="44" t="e">
        <f ca="1">IF(payfreq="Annually",IF(P107="","",IF(P107="Total",SUM($T$19:T106),Adj_Rate*$R107)),IF(payfreq="Semiannually",IF(P107="","",IF(P107="Total",SUM($T$19:T106),Adj_Rate/2*$R107)),IF(payfreq="Quarterly",IF(P107="","",IF(P107="Total",SUM($T$19:T106),Adj_Rate/4*$R107)),IF(payfreq="Monthly",IF(P107="","",IF(P107="Total",SUM($T$19:T106),Adj_Rate/12*$R107)),""))))</f>
        <v>#N/A</v>
      </c>
      <c r="U107" s="37" t="e">
        <f t="shared" ca="1" si="48"/>
        <v>#N/A</v>
      </c>
      <c r="V107" s="44" t="e">
        <f t="shared" ca="1" si="49"/>
        <v>#N/A</v>
      </c>
    </row>
    <row r="108" spans="2:22">
      <c r="B108" s="38">
        <v>89</v>
      </c>
      <c r="C108" s="77" t="e">
        <f t="shared" ca="1" si="50"/>
        <v>#N/A</v>
      </c>
      <c r="D108" s="78" t="e">
        <f ca="1">+IF(AND(B108&lt;$G$7),VLOOKUP($B$1,Inventory!$A$1:$BC$500,35,FALSE),IF(AND(B108=$G$7,pmt_timing="End"),VLOOKUP($B$1,Inventory!$A$1:$BC$500,35,FALSE),0))</f>
        <v>#N/A</v>
      </c>
      <c r="E108" s="78">
        <v>0</v>
      </c>
      <c r="F108" s="78">
        <v>0</v>
      </c>
      <c r="G108" s="78">
        <v>0</v>
      </c>
      <c r="H108" s="78">
        <v>0</v>
      </c>
      <c r="I108" s="78">
        <v>0</v>
      </c>
      <c r="J108" s="78">
        <v>0</v>
      </c>
      <c r="K108" s="78">
        <v>0</v>
      </c>
      <c r="L108" s="36" t="e">
        <f t="shared" ca="1" si="45"/>
        <v>#N/A</v>
      </c>
      <c r="M108" s="37" t="e">
        <f t="shared" ca="1" si="43"/>
        <v>#N/A</v>
      </c>
      <c r="N108" s="37" t="e">
        <f t="shared" ca="1" si="44"/>
        <v>#N/A</v>
      </c>
      <c r="P108" s="35" t="e">
        <f t="shared" ca="1" si="51"/>
        <v>#N/A</v>
      </c>
      <c r="Q108" s="59" t="e">
        <f t="shared" ca="1" si="46"/>
        <v>#N/A</v>
      </c>
      <c r="R108" s="44" t="e">
        <f t="shared" ca="1" si="47"/>
        <v>#N/A</v>
      </c>
      <c r="S108" s="37" t="e">
        <f ca="1">IF(P108="","",IF(P108="Total",SUM($S$19:S107),VLOOKUP($P108,$B$12:$L162,11,FALSE)))</f>
        <v>#N/A</v>
      </c>
      <c r="T108" s="44" t="e">
        <f ca="1">IF(payfreq="Annually",IF(P108="","",IF(P108="Total",SUM($T$19:T107),Adj_Rate*$R108)),IF(payfreq="Semiannually",IF(P108="","",IF(P108="Total",SUM($T$19:T107),Adj_Rate/2*$R108)),IF(payfreq="Quarterly",IF(P108="","",IF(P108="Total",SUM($T$19:T107),Adj_Rate/4*$R108)),IF(payfreq="Monthly",IF(P108="","",IF(P108="Total",SUM($T$19:T107),Adj_Rate/12*$R108)),""))))</f>
        <v>#N/A</v>
      </c>
      <c r="U108" s="37" t="e">
        <f t="shared" ca="1" si="48"/>
        <v>#N/A</v>
      </c>
      <c r="V108" s="44" t="e">
        <f t="shared" ca="1" si="49"/>
        <v>#N/A</v>
      </c>
    </row>
    <row r="109" spans="2:22">
      <c r="B109" s="38">
        <v>90</v>
      </c>
      <c r="C109" s="77" t="e">
        <f t="shared" ca="1" si="50"/>
        <v>#N/A</v>
      </c>
      <c r="D109" s="78" t="e">
        <f ca="1">+IF(AND(B109&lt;$G$7),VLOOKUP($B$1,Inventory!$A$1:$BC$500,35,FALSE),IF(AND(B109=$G$7,pmt_timing="End"),VLOOKUP($B$1,Inventory!$A$1:$BC$500,35,FALSE),0))</f>
        <v>#N/A</v>
      </c>
      <c r="E109" s="78">
        <v>0</v>
      </c>
      <c r="F109" s="78">
        <v>0</v>
      </c>
      <c r="G109" s="78">
        <v>0</v>
      </c>
      <c r="H109" s="78">
        <v>0</v>
      </c>
      <c r="I109" s="78">
        <v>0</v>
      </c>
      <c r="J109" s="78">
        <v>0</v>
      </c>
      <c r="K109" s="78">
        <v>0</v>
      </c>
      <c r="L109" s="36" t="e">
        <f t="shared" ca="1" si="45"/>
        <v>#N/A</v>
      </c>
      <c r="M109" s="37" t="e">
        <f t="shared" ca="1" si="43"/>
        <v>#N/A</v>
      </c>
      <c r="N109" s="37" t="e">
        <f t="shared" ca="1" si="44"/>
        <v>#N/A</v>
      </c>
      <c r="P109" s="35" t="e">
        <f t="shared" ca="1" si="51"/>
        <v>#N/A</v>
      </c>
      <c r="Q109" s="59" t="e">
        <f t="shared" ca="1" si="46"/>
        <v>#N/A</v>
      </c>
      <c r="R109" s="44" t="e">
        <f t="shared" ca="1" si="47"/>
        <v>#N/A</v>
      </c>
      <c r="S109" s="37" t="e">
        <f ca="1">IF(P109="","",IF(P109="Total",SUM($S$19:S108),VLOOKUP($P109,$B$12:$L163,11,FALSE)))</f>
        <v>#N/A</v>
      </c>
      <c r="T109" s="44" t="e">
        <f ca="1">IF(payfreq="Annually",IF(P109="","",IF(P109="Total",SUM($T$19:T108),Adj_Rate*$R109)),IF(payfreq="Semiannually",IF(P109="","",IF(P109="Total",SUM($T$19:T108),Adj_Rate/2*$R109)),IF(payfreq="Quarterly",IF(P109="","",IF(P109="Total",SUM($T$19:T108),Adj_Rate/4*$R109)),IF(payfreq="Monthly",IF(P109="","",IF(P109="Total",SUM($T$19:T108),Adj_Rate/12*$R109)),""))))</f>
        <v>#N/A</v>
      </c>
      <c r="U109" s="37" t="e">
        <f t="shared" ca="1" si="48"/>
        <v>#N/A</v>
      </c>
      <c r="V109" s="44" t="e">
        <f t="shared" ca="1" si="49"/>
        <v>#N/A</v>
      </c>
    </row>
    <row r="110" spans="2:22">
      <c r="B110" s="38">
        <v>91</v>
      </c>
      <c r="C110" s="77" t="e">
        <f t="shared" ca="1" si="50"/>
        <v>#N/A</v>
      </c>
      <c r="D110" s="78" t="e">
        <f ca="1">+IF(AND(B110&lt;$G$7),VLOOKUP($B$1,Inventory!$A$1:$BC$500,35,FALSE),IF(AND(B110=$G$7,pmt_timing="End"),VLOOKUP($B$1,Inventory!$A$1:$BC$500,35,FALSE),0))</f>
        <v>#N/A</v>
      </c>
      <c r="E110" s="78">
        <v>0</v>
      </c>
      <c r="F110" s="78">
        <v>0</v>
      </c>
      <c r="G110" s="78">
        <v>0</v>
      </c>
      <c r="H110" s="78">
        <v>0</v>
      </c>
      <c r="I110" s="78">
        <v>0</v>
      </c>
      <c r="J110" s="78">
        <v>0</v>
      </c>
      <c r="K110" s="78">
        <v>0</v>
      </c>
      <c r="L110" s="36" t="e">
        <f t="shared" ca="1" si="45"/>
        <v>#N/A</v>
      </c>
      <c r="M110" s="37" t="e">
        <f t="shared" ca="1" si="43"/>
        <v>#N/A</v>
      </c>
      <c r="N110" s="37" t="e">
        <f t="shared" ca="1" si="44"/>
        <v>#N/A</v>
      </c>
      <c r="P110" s="35" t="e">
        <f t="shared" ca="1" si="51"/>
        <v>#N/A</v>
      </c>
      <c r="Q110" s="59" t="e">
        <f t="shared" ca="1" si="46"/>
        <v>#N/A</v>
      </c>
      <c r="R110" s="44" t="e">
        <f t="shared" ca="1" si="47"/>
        <v>#N/A</v>
      </c>
      <c r="S110" s="37" t="e">
        <f ca="1">IF(P110="","",IF(P110="Total",SUM($S$19:S109),VLOOKUP($P110,$B$12:$L164,11,FALSE)))</f>
        <v>#N/A</v>
      </c>
      <c r="T110" s="44" t="e">
        <f ca="1">IF(payfreq="Annually",IF(P110="","",IF(P110="Total",SUM($T$19:T109),Adj_Rate*$R110)),IF(payfreq="Semiannually",IF(P110="","",IF(P110="Total",SUM($T$19:T109),Adj_Rate/2*$R110)),IF(payfreq="Quarterly",IF(P110="","",IF(P110="Total",SUM($T$19:T109),Adj_Rate/4*$R110)),IF(payfreq="Monthly",IF(P110="","",IF(P110="Total",SUM($T$19:T109),Adj_Rate/12*$R110)),""))))</f>
        <v>#N/A</v>
      </c>
      <c r="U110" s="37" t="e">
        <f t="shared" ca="1" si="48"/>
        <v>#N/A</v>
      </c>
      <c r="V110" s="44" t="e">
        <f t="shared" ca="1" si="49"/>
        <v>#N/A</v>
      </c>
    </row>
    <row r="111" spans="2:22">
      <c r="B111" s="38">
        <v>92</v>
      </c>
      <c r="C111" s="77" t="e">
        <f t="shared" ca="1" si="50"/>
        <v>#N/A</v>
      </c>
      <c r="D111" s="78" t="e">
        <f ca="1">+IF(AND(B111&lt;$G$7),VLOOKUP($B$1,Inventory!$A$1:$BC$500,35,FALSE),IF(AND(B111=$G$7,pmt_timing="End"),VLOOKUP($B$1,Inventory!$A$1:$BC$500,35,FALSE),0))</f>
        <v>#N/A</v>
      </c>
      <c r="E111" s="78">
        <v>0</v>
      </c>
      <c r="F111" s="78">
        <v>0</v>
      </c>
      <c r="G111" s="78">
        <v>0</v>
      </c>
      <c r="H111" s="78">
        <v>0</v>
      </c>
      <c r="I111" s="78">
        <v>0</v>
      </c>
      <c r="J111" s="78">
        <v>0</v>
      </c>
      <c r="K111" s="78">
        <v>0</v>
      </c>
      <c r="L111" s="36" t="e">
        <f t="shared" ca="1" si="45"/>
        <v>#N/A</v>
      </c>
      <c r="M111" s="37" t="e">
        <f t="shared" ca="1" si="43"/>
        <v>#N/A</v>
      </c>
      <c r="N111" s="37" t="e">
        <f t="shared" ca="1" si="44"/>
        <v>#N/A</v>
      </c>
      <c r="P111" s="35" t="e">
        <f t="shared" ca="1" si="51"/>
        <v>#N/A</v>
      </c>
      <c r="Q111" s="59" t="e">
        <f t="shared" ca="1" si="46"/>
        <v>#N/A</v>
      </c>
      <c r="R111" s="44" t="e">
        <f t="shared" ca="1" si="47"/>
        <v>#N/A</v>
      </c>
      <c r="S111" s="37" t="e">
        <f ca="1">IF(P111="","",IF(P111="Total",SUM($S$19:S110),VLOOKUP($P111,$B$12:$L165,11,FALSE)))</f>
        <v>#N/A</v>
      </c>
      <c r="T111" s="44" t="e">
        <f ca="1">IF(payfreq="Annually",IF(P111="","",IF(P111="Total",SUM($T$19:T110),Adj_Rate*$R111)),IF(payfreq="Semiannually",IF(P111="","",IF(P111="Total",SUM($T$19:T110),Adj_Rate/2*$R111)),IF(payfreq="Quarterly",IF(P111="","",IF(P111="Total",SUM($T$19:T110),Adj_Rate/4*$R111)),IF(payfreq="Monthly",IF(P111="","",IF(P111="Total",SUM($T$19:T110),Adj_Rate/12*$R111)),""))))</f>
        <v>#N/A</v>
      </c>
      <c r="U111" s="37" t="e">
        <f t="shared" ca="1" si="48"/>
        <v>#N/A</v>
      </c>
      <c r="V111" s="44" t="e">
        <f t="shared" ca="1" si="49"/>
        <v>#N/A</v>
      </c>
    </row>
    <row r="112" spans="2:22">
      <c r="B112" s="38">
        <v>93</v>
      </c>
      <c r="C112" s="77" t="e">
        <f t="shared" ca="1" si="50"/>
        <v>#N/A</v>
      </c>
      <c r="D112" s="78" t="e">
        <f ca="1">+IF(AND(B112&lt;$G$7),VLOOKUP($B$1,Inventory!$A$1:$BC$500,35,FALSE),IF(AND(B112=$G$7,pmt_timing="End"),VLOOKUP($B$1,Inventory!$A$1:$BC$500,35,FALSE),0))</f>
        <v>#N/A</v>
      </c>
      <c r="E112" s="78">
        <v>0</v>
      </c>
      <c r="F112" s="78">
        <v>0</v>
      </c>
      <c r="G112" s="78">
        <v>0</v>
      </c>
      <c r="H112" s="78">
        <v>0</v>
      </c>
      <c r="I112" s="78">
        <v>0</v>
      </c>
      <c r="J112" s="78">
        <v>0</v>
      </c>
      <c r="K112" s="78">
        <v>0</v>
      </c>
      <c r="L112" s="36" t="e">
        <f t="shared" ca="1" si="45"/>
        <v>#N/A</v>
      </c>
      <c r="M112" s="37" t="e">
        <f t="shared" ca="1" si="43"/>
        <v>#N/A</v>
      </c>
      <c r="N112" s="37" t="e">
        <f t="shared" ca="1" si="44"/>
        <v>#N/A</v>
      </c>
      <c r="P112" s="35" t="e">
        <f t="shared" ca="1" si="51"/>
        <v>#N/A</v>
      </c>
      <c r="Q112" s="59" t="e">
        <f t="shared" ca="1" si="46"/>
        <v>#N/A</v>
      </c>
      <c r="R112" s="44" t="e">
        <f t="shared" ca="1" si="47"/>
        <v>#N/A</v>
      </c>
      <c r="S112" s="37" t="e">
        <f ca="1">IF(P112="","",IF(P112="Total",SUM($S$19:S111),VLOOKUP($P112,$B$12:$L166,11,FALSE)))</f>
        <v>#N/A</v>
      </c>
      <c r="T112" s="44" t="e">
        <f ca="1">IF(payfreq="Annually",IF(P112="","",IF(P112="Total",SUM($T$19:T111),Adj_Rate*$R112)),IF(payfreq="Semiannually",IF(P112="","",IF(P112="Total",SUM($T$19:T111),Adj_Rate/2*$R112)),IF(payfreq="Quarterly",IF(P112="","",IF(P112="Total",SUM($T$19:T111),Adj_Rate/4*$R112)),IF(payfreq="Monthly",IF(P112="","",IF(P112="Total",SUM($T$19:T111),Adj_Rate/12*$R112)),""))))</f>
        <v>#N/A</v>
      </c>
      <c r="U112" s="37" t="e">
        <f t="shared" ca="1" si="48"/>
        <v>#N/A</v>
      </c>
      <c r="V112" s="44" t="e">
        <f t="shared" ca="1" si="49"/>
        <v>#N/A</v>
      </c>
    </row>
    <row r="113" spans="2:22">
      <c r="B113" s="38">
        <v>94</v>
      </c>
      <c r="C113" s="77" t="e">
        <f t="shared" ca="1" si="50"/>
        <v>#N/A</v>
      </c>
      <c r="D113" s="78" t="e">
        <f ca="1">+IF(AND(B113&lt;$G$7),VLOOKUP($B$1,Inventory!$A$1:$BC$500,35,FALSE),IF(AND(B113=$G$7,pmt_timing="End"),VLOOKUP($B$1,Inventory!$A$1:$BC$500,35,FALSE),0))</f>
        <v>#N/A</v>
      </c>
      <c r="E113" s="78">
        <v>0</v>
      </c>
      <c r="F113" s="78">
        <v>0</v>
      </c>
      <c r="G113" s="78">
        <v>0</v>
      </c>
      <c r="H113" s="78">
        <v>0</v>
      </c>
      <c r="I113" s="78">
        <v>0</v>
      </c>
      <c r="J113" s="78">
        <v>0</v>
      </c>
      <c r="K113" s="78">
        <v>0</v>
      </c>
      <c r="L113" s="36" t="e">
        <f t="shared" ca="1" si="45"/>
        <v>#N/A</v>
      </c>
      <c r="M113" s="37" t="e">
        <f t="shared" ca="1" si="43"/>
        <v>#N/A</v>
      </c>
      <c r="N113" s="37" t="e">
        <f t="shared" ca="1" si="44"/>
        <v>#N/A</v>
      </c>
      <c r="P113" s="35" t="e">
        <f t="shared" ca="1" si="51"/>
        <v>#N/A</v>
      </c>
      <c r="Q113" s="59" t="e">
        <f t="shared" ca="1" si="46"/>
        <v>#N/A</v>
      </c>
      <c r="R113" s="44" t="e">
        <f t="shared" ca="1" si="47"/>
        <v>#N/A</v>
      </c>
      <c r="S113" s="37" t="e">
        <f ca="1">IF(P113="","",IF(P113="Total",SUM($S$19:S112),VLOOKUP($P113,$B$12:$L167,11,FALSE)))</f>
        <v>#N/A</v>
      </c>
      <c r="T113" s="44" t="e">
        <f ca="1">IF(payfreq="Annually",IF(P113="","",IF(P113="Total",SUM($T$19:T112),Adj_Rate*$R113)),IF(payfreq="Semiannually",IF(P113="","",IF(P113="Total",SUM($T$19:T112),Adj_Rate/2*$R113)),IF(payfreq="Quarterly",IF(P113="","",IF(P113="Total",SUM($T$19:T112),Adj_Rate/4*$R113)),IF(payfreq="Monthly",IF(P113="","",IF(P113="Total",SUM($T$19:T112),Adj_Rate/12*$R113)),""))))</f>
        <v>#N/A</v>
      </c>
      <c r="U113" s="37" t="e">
        <f t="shared" ca="1" si="48"/>
        <v>#N/A</v>
      </c>
      <c r="V113" s="44" t="e">
        <f t="shared" ca="1" si="49"/>
        <v>#N/A</v>
      </c>
    </row>
    <row r="114" spans="2:22">
      <c r="B114" s="38">
        <v>95</v>
      </c>
      <c r="C114" s="77" t="e">
        <f t="shared" ca="1" si="50"/>
        <v>#N/A</v>
      </c>
      <c r="D114" s="78" t="e">
        <f ca="1">+IF(AND(B114&lt;$G$7),VLOOKUP($B$1,Inventory!$A$1:$BC$500,35,FALSE),IF(AND(B114=$G$7,pmt_timing="End"),VLOOKUP($B$1,Inventory!$A$1:$BC$500,35,FALSE),0))</f>
        <v>#N/A</v>
      </c>
      <c r="E114" s="78">
        <v>0</v>
      </c>
      <c r="F114" s="78">
        <v>0</v>
      </c>
      <c r="G114" s="78">
        <v>0</v>
      </c>
      <c r="H114" s="78">
        <v>0</v>
      </c>
      <c r="I114" s="78">
        <v>0</v>
      </c>
      <c r="J114" s="78">
        <v>0</v>
      </c>
      <c r="K114" s="78">
        <v>0</v>
      </c>
      <c r="L114" s="36" t="e">
        <f t="shared" ca="1" si="45"/>
        <v>#N/A</v>
      </c>
      <c r="M114" s="37" t="e">
        <f t="shared" ca="1" si="43"/>
        <v>#N/A</v>
      </c>
      <c r="N114" s="37" t="e">
        <f t="shared" ca="1" si="44"/>
        <v>#N/A</v>
      </c>
      <c r="P114" s="35" t="e">
        <f t="shared" ca="1" si="51"/>
        <v>#N/A</v>
      </c>
      <c r="Q114" s="59" t="e">
        <f t="shared" ca="1" si="46"/>
        <v>#N/A</v>
      </c>
      <c r="R114" s="44" t="e">
        <f t="shared" ca="1" si="47"/>
        <v>#N/A</v>
      </c>
      <c r="S114" s="37" t="e">
        <f ca="1">IF(P114="","",IF(P114="Total",SUM($S$19:S113),VLOOKUP($P114,$B$12:$L168,11,FALSE)))</f>
        <v>#N/A</v>
      </c>
      <c r="T114" s="44" t="e">
        <f ca="1">IF(payfreq="Annually",IF(P114="","",IF(P114="Total",SUM($T$19:T113),Adj_Rate*$R114)),IF(payfreq="Semiannually",IF(P114="","",IF(P114="Total",SUM($T$19:T113),Adj_Rate/2*$R114)),IF(payfreq="Quarterly",IF(P114="","",IF(P114="Total",SUM($T$19:T113),Adj_Rate/4*$R114)),IF(payfreq="Monthly",IF(P114="","",IF(P114="Total",SUM($T$19:T113),Adj_Rate/12*$R114)),""))))</f>
        <v>#N/A</v>
      </c>
      <c r="U114" s="37" t="e">
        <f t="shared" ca="1" si="48"/>
        <v>#N/A</v>
      </c>
      <c r="V114" s="44" t="e">
        <f t="shared" ca="1" si="49"/>
        <v>#N/A</v>
      </c>
    </row>
    <row r="115" spans="2:22">
      <c r="B115" s="38">
        <v>96</v>
      </c>
      <c r="C115" s="77" t="e">
        <f t="shared" ca="1" si="50"/>
        <v>#N/A</v>
      </c>
      <c r="D115" s="78" t="e">
        <f ca="1">+IF(AND(B115&lt;$G$7),VLOOKUP($B$1,Inventory!$A$1:$BC$500,35,FALSE),IF(AND(B115=$G$7,pmt_timing="End"),VLOOKUP($B$1,Inventory!$A$1:$BC$500,35,FALSE),0))</f>
        <v>#N/A</v>
      </c>
      <c r="E115" s="78">
        <v>0</v>
      </c>
      <c r="F115" s="78">
        <v>0</v>
      </c>
      <c r="G115" s="78">
        <v>0</v>
      </c>
      <c r="H115" s="78">
        <v>0</v>
      </c>
      <c r="I115" s="78">
        <v>0</v>
      </c>
      <c r="J115" s="78">
        <v>0</v>
      </c>
      <c r="K115" s="78">
        <v>0</v>
      </c>
      <c r="L115" s="36" t="e">
        <f t="shared" ca="1" si="45"/>
        <v>#N/A</v>
      </c>
      <c r="M115" s="37" t="e">
        <f t="shared" ca="1" si="43"/>
        <v>#N/A</v>
      </c>
      <c r="N115" s="37" t="e">
        <f t="shared" ca="1" si="44"/>
        <v>#N/A</v>
      </c>
      <c r="P115" s="35" t="e">
        <f t="shared" ca="1" si="51"/>
        <v>#N/A</v>
      </c>
      <c r="Q115" s="59" t="e">
        <f t="shared" ca="1" si="46"/>
        <v>#N/A</v>
      </c>
      <c r="R115" s="44" t="e">
        <f t="shared" ca="1" si="47"/>
        <v>#N/A</v>
      </c>
      <c r="S115" s="37" t="e">
        <f ca="1">IF(P115="","",IF(P115="Total",SUM($S$19:S114),VLOOKUP($P115,$B$12:$L169,11,FALSE)))</f>
        <v>#N/A</v>
      </c>
      <c r="T115" s="44" t="e">
        <f ca="1">IF(payfreq="Annually",IF(P115="","",IF(P115="Total",SUM($T$19:T114),Adj_Rate*$R115)),IF(payfreq="Semiannually",IF(P115="","",IF(P115="Total",SUM($T$19:T114),Adj_Rate/2*$R115)),IF(payfreq="Quarterly",IF(P115="","",IF(P115="Total",SUM($T$19:T114),Adj_Rate/4*$R115)),IF(payfreq="Monthly",IF(P115="","",IF(P115="Total",SUM($T$19:T114),Adj_Rate/12*$R115)),""))))</f>
        <v>#N/A</v>
      </c>
      <c r="U115" s="37" t="e">
        <f t="shared" ca="1" si="48"/>
        <v>#N/A</v>
      </c>
      <c r="V115" s="44" t="e">
        <f t="shared" ca="1" si="49"/>
        <v>#N/A</v>
      </c>
    </row>
    <row r="116" spans="2:22">
      <c r="B116" s="38">
        <v>97</v>
      </c>
      <c r="C116" s="77" t="e">
        <f t="shared" ca="1" si="50"/>
        <v>#N/A</v>
      </c>
      <c r="D116" s="78" t="e">
        <f ca="1">+IF(AND(B116&lt;$G$7),VLOOKUP($B$1,Inventory!$A$1:$BC$500,35,FALSE),IF(AND(B116=$G$7,pmt_timing="End"),VLOOKUP($B$1,Inventory!$A$1:$BC$500,35,FALSE),0))</f>
        <v>#N/A</v>
      </c>
      <c r="E116" s="78">
        <v>0</v>
      </c>
      <c r="F116" s="78">
        <v>0</v>
      </c>
      <c r="G116" s="78">
        <v>0</v>
      </c>
      <c r="H116" s="78">
        <v>0</v>
      </c>
      <c r="I116" s="78">
        <v>0</v>
      </c>
      <c r="J116" s="78">
        <v>0</v>
      </c>
      <c r="K116" s="78">
        <v>0</v>
      </c>
      <c r="L116" s="36" t="e">
        <f t="shared" ca="1" si="45"/>
        <v>#N/A</v>
      </c>
      <c r="M116" s="37" t="e">
        <f t="shared" ca="1" si="43"/>
        <v>#N/A</v>
      </c>
      <c r="N116" s="37" t="e">
        <f t="shared" ca="1" si="44"/>
        <v>#N/A</v>
      </c>
      <c r="P116" s="35" t="e">
        <f t="shared" ca="1" si="51"/>
        <v>#N/A</v>
      </c>
      <c r="Q116" s="59" t="e">
        <f t="shared" ca="1" si="46"/>
        <v>#N/A</v>
      </c>
      <c r="R116" s="44" t="e">
        <f t="shared" ca="1" si="47"/>
        <v>#N/A</v>
      </c>
      <c r="S116" s="37" t="e">
        <f ca="1">IF(P116="","",IF(P116="Total",SUM($S$19:S115),VLOOKUP($P116,$B$12:$L170,11,FALSE)))</f>
        <v>#N/A</v>
      </c>
      <c r="T116" s="44" t="e">
        <f ca="1">IF(payfreq="Annually",IF(P116="","",IF(P116="Total",SUM($T$19:T115),Adj_Rate*$R116)),IF(payfreq="Semiannually",IF(P116="","",IF(P116="Total",SUM($T$19:T115),Adj_Rate/2*$R116)),IF(payfreq="Quarterly",IF(P116="","",IF(P116="Total",SUM($T$19:T115),Adj_Rate/4*$R116)),IF(payfreq="Monthly",IF(P116="","",IF(P116="Total",SUM($T$19:T115),Adj_Rate/12*$R116)),""))))</f>
        <v>#N/A</v>
      </c>
      <c r="U116" s="37" t="e">
        <f t="shared" ca="1" si="48"/>
        <v>#N/A</v>
      </c>
      <c r="V116" s="44" t="e">
        <f t="shared" ca="1" si="49"/>
        <v>#N/A</v>
      </c>
    </row>
    <row r="117" spans="2:22">
      <c r="B117" s="38">
        <v>98</v>
      </c>
      <c r="C117" s="77" t="e">
        <f t="shared" ca="1" si="50"/>
        <v>#N/A</v>
      </c>
      <c r="D117" s="78" t="e">
        <f ca="1">+IF(AND(B117&lt;$G$7),VLOOKUP($B$1,Inventory!$A$1:$BC$500,35,FALSE),IF(AND(B117=$G$7,pmt_timing="End"),VLOOKUP($B$1,Inventory!$A$1:$BC$500,35,FALSE),0))</f>
        <v>#N/A</v>
      </c>
      <c r="E117" s="78">
        <v>0</v>
      </c>
      <c r="F117" s="78">
        <v>0</v>
      </c>
      <c r="G117" s="78">
        <v>0</v>
      </c>
      <c r="H117" s="78">
        <v>0</v>
      </c>
      <c r="I117" s="78">
        <v>0</v>
      </c>
      <c r="J117" s="78">
        <v>0</v>
      </c>
      <c r="K117" s="78">
        <v>0</v>
      </c>
      <c r="L117" s="36" t="e">
        <f t="shared" ca="1" si="45"/>
        <v>#N/A</v>
      </c>
      <c r="M117" s="37" t="e">
        <f t="shared" ca="1" si="43"/>
        <v>#N/A</v>
      </c>
      <c r="N117" s="37" t="e">
        <f t="shared" ca="1" si="44"/>
        <v>#N/A</v>
      </c>
      <c r="P117" s="35" t="e">
        <f t="shared" ca="1" si="51"/>
        <v>#N/A</v>
      </c>
      <c r="Q117" s="59" t="e">
        <f t="shared" ca="1" si="46"/>
        <v>#N/A</v>
      </c>
      <c r="R117" s="44" t="e">
        <f t="shared" ca="1" si="47"/>
        <v>#N/A</v>
      </c>
      <c r="S117" s="37" t="e">
        <f ca="1">IF(P117="","",IF(P117="Total",SUM($S$19:S116),VLOOKUP($P117,$B$12:$L171,11,FALSE)))</f>
        <v>#N/A</v>
      </c>
      <c r="T117" s="44" t="e">
        <f ca="1">IF(payfreq="Annually",IF(P117="","",IF(P117="Total",SUM($T$19:T116),Adj_Rate*$R117)),IF(payfreq="Semiannually",IF(P117="","",IF(P117="Total",SUM($T$19:T116),Adj_Rate/2*$R117)),IF(payfreq="Quarterly",IF(P117="","",IF(P117="Total",SUM($T$19:T116),Adj_Rate/4*$R117)),IF(payfreq="Monthly",IF(P117="","",IF(P117="Total",SUM($T$19:T116),Adj_Rate/12*$R117)),""))))</f>
        <v>#N/A</v>
      </c>
      <c r="U117" s="37" t="e">
        <f t="shared" ca="1" si="48"/>
        <v>#N/A</v>
      </c>
      <c r="V117" s="44" t="e">
        <f t="shared" ca="1" si="49"/>
        <v>#N/A</v>
      </c>
    </row>
    <row r="118" spans="2:22">
      <c r="B118" s="38">
        <v>99</v>
      </c>
      <c r="C118" s="77" t="e">
        <f t="shared" ca="1" si="50"/>
        <v>#N/A</v>
      </c>
      <c r="D118" s="78" t="e">
        <f ca="1">+IF(AND(B118&lt;$G$7),VLOOKUP($B$1,Inventory!$A$1:$BC$500,35,FALSE),IF(AND(B118=$G$7,pmt_timing="End"),VLOOKUP($B$1,Inventory!$A$1:$BC$500,35,FALSE),0))</f>
        <v>#N/A</v>
      </c>
      <c r="E118" s="78">
        <v>0</v>
      </c>
      <c r="F118" s="78">
        <v>0</v>
      </c>
      <c r="G118" s="78">
        <v>0</v>
      </c>
      <c r="H118" s="78">
        <v>0</v>
      </c>
      <c r="I118" s="78">
        <v>0</v>
      </c>
      <c r="J118" s="78">
        <v>0</v>
      </c>
      <c r="K118" s="78">
        <v>0</v>
      </c>
      <c r="L118" s="36" t="e">
        <f t="shared" ca="1" si="45"/>
        <v>#N/A</v>
      </c>
      <c r="M118" s="37" t="e">
        <f t="shared" ca="1" si="43"/>
        <v>#N/A</v>
      </c>
      <c r="N118" s="37" t="e">
        <f t="shared" ca="1" si="44"/>
        <v>#N/A</v>
      </c>
      <c r="P118" s="35" t="e">
        <f t="shared" ca="1" si="51"/>
        <v>#N/A</v>
      </c>
      <c r="Q118" s="59" t="e">
        <f t="shared" ca="1" si="46"/>
        <v>#N/A</v>
      </c>
      <c r="R118" s="44" t="e">
        <f t="shared" ca="1" si="47"/>
        <v>#N/A</v>
      </c>
      <c r="S118" s="37" t="e">
        <f ca="1">IF(P118="","",IF(P118="Total",SUM($S$19:S117),VLOOKUP($P118,$B$12:$L172,11,FALSE)))</f>
        <v>#N/A</v>
      </c>
      <c r="T118" s="44" t="e">
        <f ca="1">IF(payfreq="Annually",IF(P118="","",IF(P118="Total",SUM($T$19:T117),Adj_Rate*$R118)),IF(payfreq="Semiannually",IF(P118="","",IF(P118="Total",SUM($T$19:T117),Adj_Rate/2*$R118)),IF(payfreq="Quarterly",IF(P118="","",IF(P118="Total",SUM($T$19:T117),Adj_Rate/4*$R118)),IF(payfreq="Monthly",IF(P118="","",IF(P118="Total",SUM($T$19:T117),Adj_Rate/12*$R118)),""))))</f>
        <v>#N/A</v>
      </c>
      <c r="U118" s="37" t="e">
        <f t="shared" ca="1" si="48"/>
        <v>#N/A</v>
      </c>
      <c r="V118" s="44" t="e">
        <f t="shared" ca="1" si="49"/>
        <v>#N/A</v>
      </c>
    </row>
    <row r="119" spans="2:22">
      <c r="B119" s="38">
        <v>100</v>
      </c>
      <c r="C119" s="77" t="e">
        <f t="shared" ca="1" si="50"/>
        <v>#N/A</v>
      </c>
      <c r="D119" s="78" t="e">
        <f ca="1">+IF(AND(B119&lt;$G$7),VLOOKUP($B$1,Inventory!$A$1:$BC$500,35,FALSE),IF(AND(B119=$G$7,pmt_timing="End"),VLOOKUP($B$1,Inventory!$A$1:$BC$500,35,FALSE),0))</f>
        <v>#N/A</v>
      </c>
      <c r="E119" s="78">
        <v>0</v>
      </c>
      <c r="F119" s="78">
        <v>0</v>
      </c>
      <c r="G119" s="78">
        <v>0</v>
      </c>
      <c r="H119" s="78">
        <v>0</v>
      </c>
      <c r="I119" s="78">
        <v>0</v>
      </c>
      <c r="J119" s="78">
        <v>0</v>
      </c>
      <c r="K119" s="78">
        <v>0</v>
      </c>
      <c r="L119" s="36" t="e">
        <f t="shared" ca="1" si="45"/>
        <v>#N/A</v>
      </c>
      <c r="M119" s="37" t="e">
        <f t="shared" ca="1" si="43"/>
        <v>#N/A</v>
      </c>
      <c r="N119" s="37" t="e">
        <f t="shared" ca="1" si="44"/>
        <v>#N/A</v>
      </c>
      <c r="P119" s="35" t="e">
        <f t="shared" ca="1" si="51"/>
        <v>#N/A</v>
      </c>
      <c r="Q119" s="59" t="e">
        <f t="shared" ca="1" si="46"/>
        <v>#N/A</v>
      </c>
      <c r="R119" s="44" t="e">
        <f t="shared" ca="1" si="47"/>
        <v>#N/A</v>
      </c>
      <c r="S119" s="37" t="e">
        <f ca="1">IF(P119="","",IF(P119="Total",SUM($S$19:S118),VLOOKUP($P119,$B$12:$L173,11,FALSE)))</f>
        <v>#N/A</v>
      </c>
      <c r="T119" s="44" t="e">
        <f ca="1">IF(payfreq="Annually",IF(P119="","",IF(P119="Total",SUM($T$19:T118),Adj_Rate*$R119)),IF(payfreq="Semiannually",IF(P119="","",IF(P119="Total",SUM($T$19:T118),Adj_Rate/2*$R119)),IF(payfreq="Quarterly",IF(P119="","",IF(P119="Total",SUM($T$19:T118),Adj_Rate/4*$R119)),IF(payfreq="Monthly",IF(P119="","",IF(P119="Total",SUM($T$19:T118),Adj_Rate/12*$R119)),""))))</f>
        <v>#N/A</v>
      </c>
      <c r="U119" s="37" t="e">
        <f t="shared" ca="1" si="48"/>
        <v>#N/A</v>
      </c>
      <c r="V119" s="44" t="e">
        <f t="shared" ca="1" si="49"/>
        <v>#N/A</v>
      </c>
    </row>
    <row r="120" spans="2:22">
      <c r="B120" s="38">
        <v>101</v>
      </c>
      <c r="C120" s="77" t="e">
        <f t="shared" ca="1" si="50"/>
        <v>#N/A</v>
      </c>
      <c r="D120" s="78" t="e">
        <f ca="1">+IF(AND(B120&lt;$G$7),VLOOKUP($B$1,Inventory!$A$1:$BC$500,35,FALSE),IF(AND(B120=$G$7,pmt_timing="End"),VLOOKUP($B$1,Inventory!$A$1:$BC$500,35,FALSE),0))</f>
        <v>#N/A</v>
      </c>
      <c r="E120" s="78">
        <v>0</v>
      </c>
      <c r="F120" s="78">
        <v>0</v>
      </c>
      <c r="G120" s="78">
        <v>0</v>
      </c>
      <c r="H120" s="78">
        <v>0</v>
      </c>
      <c r="I120" s="78">
        <v>0</v>
      </c>
      <c r="J120" s="78">
        <v>0</v>
      </c>
      <c r="K120" s="78">
        <v>0</v>
      </c>
      <c r="L120" s="36" t="e">
        <f t="shared" ca="1" si="45"/>
        <v>#N/A</v>
      </c>
      <c r="M120" s="37" t="e">
        <f t="shared" ca="1" si="43"/>
        <v>#N/A</v>
      </c>
      <c r="N120" s="37" t="e">
        <f t="shared" ca="1" si="44"/>
        <v>#N/A</v>
      </c>
      <c r="P120" s="35" t="e">
        <f t="shared" ca="1" si="51"/>
        <v>#N/A</v>
      </c>
      <c r="Q120" s="59" t="e">
        <f t="shared" ca="1" si="46"/>
        <v>#N/A</v>
      </c>
      <c r="R120" s="44" t="e">
        <f t="shared" ca="1" si="47"/>
        <v>#N/A</v>
      </c>
      <c r="S120" s="37" t="e">
        <f ca="1">IF(P120="","",IF(P120="Total",SUM($S$19:S119),VLOOKUP($P120,$B$12:$L174,11,FALSE)))</f>
        <v>#N/A</v>
      </c>
      <c r="T120" s="44" t="e">
        <f ca="1">IF(payfreq="Annually",IF(P120="","",IF(P120="Total",SUM($T$19:T119),Adj_Rate*$R120)),IF(payfreq="Semiannually",IF(P120="","",IF(P120="Total",SUM($T$19:T119),Adj_Rate/2*$R120)),IF(payfreq="Quarterly",IF(P120="","",IF(P120="Total",SUM($T$19:T119),Adj_Rate/4*$R120)),IF(payfreq="Monthly",IF(P120="","",IF(P120="Total",SUM($T$19:T119),Adj_Rate/12*$R120)),""))))</f>
        <v>#N/A</v>
      </c>
      <c r="U120" s="37" t="e">
        <f t="shared" ca="1" si="48"/>
        <v>#N/A</v>
      </c>
      <c r="V120" s="44" t="e">
        <f t="shared" ca="1" si="49"/>
        <v>#N/A</v>
      </c>
    </row>
    <row r="121" spans="2:22">
      <c r="B121" s="38">
        <v>102</v>
      </c>
      <c r="C121" s="77" t="e">
        <f t="shared" ca="1" si="50"/>
        <v>#N/A</v>
      </c>
      <c r="D121" s="78" t="e">
        <f ca="1">+IF(AND(B121&lt;$G$7),VLOOKUP($B$1,Inventory!$A$1:$BC$500,35,FALSE),IF(AND(B121=$G$7,pmt_timing="End"),VLOOKUP($B$1,Inventory!$A$1:$BC$500,35,FALSE),0))</f>
        <v>#N/A</v>
      </c>
      <c r="E121" s="78">
        <v>0</v>
      </c>
      <c r="F121" s="78">
        <v>0</v>
      </c>
      <c r="G121" s="78">
        <v>0</v>
      </c>
      <c r="H121" s="78">
        <v>0</v>
      </c>
      <c r="I121" s="78">
        <v>0</v>
      </c>
      <c r="J121" s="78">
        <v>0</v>
      </c>
      <c r="K121" s="78">
        <v>0</v>
      </c>
      <c r="L121" s="36" t="e">
        <f t="shared" ca="1" si="45"/>
        <v>#N/A</v>
      </c>
      <c r="M121" s="37" t="e">
        <f t="shared" ca="1" si="43"/>
        <v>#N/A</v>
      </c>
      <c r="N121" s="37" t="e">
        <f t="shared" ca="1" si="44"/>
        <v>#N/A</v>
      </c>
      <c r="P121" s="35" t="e">
        <f t="shared" ca="1" si="51"/>
        <v>#N/A</v>
      </c>
      <c r="Q121" s="59" t="e">
        <f t="shared" ca="1" si="46"/>
        <v>#N/A</v>
      </c>
      <c r="R121" s="44" t="e">
        <f t="shared" ca="1" si="47"/>
        <v>#N/A</v>
      </c>
      <c r="S121" s="37" t="e">
        <f ca="1">IF(P121="","",IF(P121="Total",SUM($S$19:S120),VLOOKUP($P121,$B$12:$L175,11,FALSE)))</f>
        <v>#N/A</v>
      </c>
      <c r="T121" s="44" t="e">
        <f ca="1">IF(payfreq="Annually",IF(P121="","",IF(P121="Total",SUM($T$19:T120),Adj_Rate*$R121)),IF(payfreq="Semiannually",IF(P121="","",IF(P121="Total",SUM($T$19:T120),Adj_Rate/2*$R121)),IF(payfreq="Quarterly",IF(P121="","",IF(P121="Total",SUM($T$19:T120),Adj_Rate/4*$R121)),IF(payfreq="Monthly",IF(P121="","",IF(P121="Total",SUM($T$19:T120),Adj_Rate/12*$R121)),""))))</f>
        <v>#N/A</v>
      </c>
      <c r="U121" s="37" t="e">
        <f t="shared" ca="1" si="48"/>
        <v>#N/A</v>
      </c>
      <c r="V121" s="44" t="e">
        <f t="shared" ca="1" si="49"/>
        <v>#N/A</v>
      </c>
    </row>
    <row r="122" spans="2:22">
      <c r="B122" s="38">
        <v>103</v>
      </c>
      <c r="C122" s="77" t="e">
        <f t="shared" ca="1" si="50"/>
        <v>#N/A</v>
      </c>
      <c r="D122" s="78" t="e">
        <f ca="1">+IF(AND(B122&lt;$G$7),VLOOKUP($B$1,Inventory!$A$1:$BC$500,35,FALSE),IF(AND(B122=$G$7,pmt_timing="End"),VLOOKUP($B$1,Inventory!$A$1:$BC$500,35,FALSE),0))</f>
        <v>#N/A</v>
      </c>
      <c r="E122" s="78">
        <v>0</v>
      </c>
      <c r="F122" s="78">
        <v>0</v>
      </c>
      <c r="G122" s="78">
        <v>0</v>
      </c>
      <c r="H122" s="78">
        <v>0</v>
      </c>
      <c r="I122" s="78">
        <v>0</v>
      </c>
      <c r="J122" s="78">
        <v>0</v>
      </c>
      <c r="K122" s="78">
        <v>0</v>
      </c>
      <c r="L122" s="36" t="e">
        <f t="shared" ca="1" si="45"/>
        <v>#N/A</v>
      </c>
      <c r="M122" s="37" t="e">
        <f t="shared" ca="1" si="43"/>
        <v>#N/A</v>
      </c>
      <c r="N122" s="37" t="e">
        <f t="shared" ca="1" si="44"/>
        <v>#N/A</v>
      </c>
      <c r="P122" s="35" t="e">
        <f t="shared" ca="1" si="51"/>
        <v>#N/A</v>
      </c>
      <c r="Q122" s="59" t="e">
        <f t="shared" ca="1" si="46"/>
        <v>#N/A</v>
      </c>
      <c r="R122" s="44" t="e">
        <f t="shared" ca="1" si="47"/>
        <v>#N/A</v>
      </c>
      <c r="S122" s="37" t="e">
        <f ca="1">IF(P122="","",IF(P122="Total",SUM($S$19:S121),VLOOKUP($P122,$B$12:$L176,11,FALSE)))</f>
        <v>#N/A</v>
      </c>
      <c r="T122" s="44" t="e">
        <f ca="1">IF(payfreq="Annually",IF(P122="","",IF(P122="Total",SUM($T$19:T121),Adj_Rate*$R122)),IF(payfreq="Semiannually",IF(P122="","",IF(P122="Total",SUM($T$19:T121),Adj_Rate/2*$R122)),IF(payfreq="Quarterly",IF(P122="","",IF(P122="Total",SUM($T$19:T121),Adj_Rate/4*$R122)),IF(payfreq="Monthly",IF(P122="","",IF(P122="Total",SUM($T$19:T121),Adj_Rate/12*$R122)),""))))</f>
        <v>#N/A</v>
      </c>
      <c r="U122" s="37" t="e">
        <f t="shared" ca="1" si="48"/>
        <v>#N/A</v>
      </c>
      <c r="V122" s="44" t="e">
        <f t="shared" ca="1" si="49"/>
        <v>#N/A</v>
      </c>
    </row>
    <row r="123" spans="2:22">
      <c r="B123" s="38">
        <v>104</v>
      </c>
      <c r="C123" s="77" t="e">
        <f t="shared" ca="1" si="50"/>
        <v>#N/A</v>
      </c>
      <c r="D123" s="78" t="e">
        <f ca="1">+IF(AND(B123&lt;$G$7),VLOOKUP($B$1,Inventory!$A$1:$BC$500,35,FALSE),IF(AND(B123=$G$7,pmt_timing="End"),VLOOKUP($B$1,Inventory!$A$1:$BC$500,35,FALSE),0))</f>
        <v>#N/A</v>
      </c>
      <c r="E123" s="78">
        <v>0</v>
      </c>
      <c r="F123" s="78">
        <v>0</v>
      </c>
      <c r="G123" s="78">
        <v>0</v>
      </c>
      <c r="H123" s="78">
        <v>0</v>
      </c>
      <c r="I123" s="78">
        <v>0</v>
      </c>
      <c r="J123" s="78">
        <v>0</v>
      </c>
      <c r="K123" s="78">
        <v>0</v>
      </c>
      <c r="L123" s="36" t="e">
        <f t="shared" ca="1" si="45"/>
        <v>#N/A</v>
      </c>
      <c r="M123" s="37" t="e">
        <f t="shared" ca="1" si="43"/>
        <v>#N/A</v>
      </c>
      <c r="N123" s="37" t="e">
        <f t="shared" ca="1" si="44"/>
        <v>#N/A</v>
      </c>
      <c r="P123" s="35" t="e">
        <f t="shared" ca="1" si="51"/>
        <v>#N/A</v>
      </c>
      <c r="Q123" s="59" t="e">
        <f t="shared" ca="1" si="46"/>
        <v>#N/A</v>
      </c>
      <c r="R123" s="44" t="e">
        <f t="shared" ca="1" si="47"/>
        <v>#N/A</v>
      </c>
      <c r="S123" s="37" t="e">
        <f ca="1">IF(P123="","",IF(P123="Total",SUM($S$19:S122),VLOOKUP($P123,$B$12:$L177,11,FALSE)))</f>
        <v>#N/A</v>
      </c>
      <c r="T123" s="44" t="e">
        <f ca="1">IF(payfreq="Annually",IF(P123="","",IF(P123="Total",SUM($T$19:T122),Adj_Rate*$R123)),IF(payfreq="Semiannually",IF(P123="","",IF(P123="Total",SUM($T$19:T122),Adj_Rate/2*$R123)),IF(payfreq="Quarterly",IF(P123="","",IF(P123="Total",SUM($T$19:T122),Adj_Rate/4*$R123)),IF(payfreq="Monthly",IF(P123="","",IF(P123="Total",SUM($T$19:T122),Adj_Rate/12*$R123)),""))))</f>
        <v>#N/A</v>
      </c>
      <c r="U123" s="37" t="e">
        <f t="shared" ca="1" si="48"/>
        <v>#N/A</v>
      </c>
      <c r="V123" s="44" t="e">
        <f t="shared" ca="1" si="49"/>
        <v>#N/A</v>
      </c>
    </row>
    <row r="124" spans="2:22">
      <c r="B124" s="38">
        <v>105</v>
      </c>
      <c r="C124" s="77" t="e">
        <f t="shared" ca="1" si="50"/>
        <v>#N/A</v>
      </c>
      <c r="D124" s="78" t="e">
        <f ca="1">+IF(AND(B124&lt;$G$7),VLOOKUP($B$1,Inventory!$A$1:$BC$500,35,FALSE),IF(AND(B124=$G$7,pmt_timing="End"),VLOOKUP($B$1,Inventory!$A$1:$BC$500,35,FALSE),0))</f>
        <v>#N/A</v>
      </c>
      <c r="E124" s="78">
        <v>0</v>
      </c>
      <c r="F124" s="78">
        <v>0</v>
      </c>
      <c r="G124" s="78">
        <v>0</v>
      </c>
      <c r="H124" s="78">
        <v>0</v>
      </c>
      <c r="I124" s="78">
        <v>0</v>
      </c>
      <c r="J124" s="78">
        <v>0</v>
      </c>
      <c r="K124" s="78">
        <v>0</v>
      </c>
      <c r="L124" s="36" t="e">
        <f t="shared" ca="1" si="45"/>
        <v>#N/A</v>
      </c>
      <c r="M124" s="37" t="e">
        <f t="shared" ca="1" si="43"/>
        <v>#N/A</v>
      </c>
      <c r="N124" s="37" t="e">
        <f t="shared" ca="1" si="44"/>
        <v>#N/A</v>
      </c>
      <c r="P124" s="35" t="e">
        <f t="shared" ca="1" si="51"/>
        <v>#N/A</v>
      </c>
      <c r="Q124" s="59" t="e">
        <f t="shared" ca="1" si="46"/>
        <v>#N/A</v>
      </c>
      <c r="R124" s="44" t="e">
        <f t="shared" ca="1" si="47"/>
        <v>#N/A</v>
      </c>
      <c r="S124" s="37" t="e">
        <f ca="1">IF(P124="","",IF(P124="Total",SUM($S$19:S123),VLOOKUP($P124,$B$12:$L178,11,FALSE)))</f>
        <v>#N/A</v>
      </c>
      <c r="T124" s="44" t="e">
        <f ca="1">IF(payfreq="Annually",IF(P124="","",IF(P124="Total",SUM($T$19:T123),Adj_Rate*$R124)),IF(payfreq="Semiannually",IF(P124="","",IF(P124="Total",SUM($T$19:T123),Adj_Rate/2*$R124)),IF(payfreq="Quarterly",IF(P124="","",IF(P124="Total",SUM($T$19:T123),Adj_Rate/4*$R124)),IF(payfreq="Monthly",IF(P124="","",IF(P124="Total",SUM($T$19:T123),Adj_Rate/12*$R124)),""))))</f>
        <v>#N/A</v>
      </c>
      <c r="U124" s="37" t="e">
        <f t="shared" ca="1" si="48"/>
        <v>#N/A</v>
      </c>
      <c r="V124" s="44" t="e">
        <f t="shared" ca="1" si="49"/>
        <v>#N/A</v>
      </c>
    </row>
    <row r="125" spans="2:22">
      <c r="B125" s="38">
        <v>106</v>
      </c>
      <c r="C125" s="77" t="e">
        <f t="shared" ca="1" si="50"/>
        <v>#N/A</v>
      </c>
      <c r="D125" s="78" t="e">
        <f ca="1">+IF(AND(B125&lt;$G$7),VLOOKUP($B$1,Inventory!$A$1:$BC$500,35,FALSE),IF(AND(B125=$G$7,pmt_timing="End"),VLOOKUP($B$1,Inventory!$A$1:$BC$500,35,FALSE),0))</f>
        <v>#N/A</v>
      </c>
      <c r="E125" s="78">
        <v>0</v>
      </c>
      <c r="F125" s="78">
        <v>0</v>
      </c>
      <c r="G125" s="78">
        <v>0</v>
      </c>
      <c r="H125" s="78">
        <v>0</v>
      </c>
      <c r="I125" s="78">
        <v>0</v>
      </c>
      <c r="J125" s="78">
        <v>0</v>
      </c>
      <c r="K125" s="78">
        <v>0</v>
      </c>
      <c r="L125" s="36" t="e">
        <f t="shared" ca="1" si="45"/>
        <v>#N/A</v>
      </c>
      <c r="M125" s="37" t="e">
        <f t="shared" ca="1" si="43"/>
        <v>#N/A</v>
      </c>
      <c r="N125" s="37" t="e">
        <f t="shared" ca="1" si="44"/>
        <v>#N/A</v>
      </c>
      <c r="P125" s="35" t="e">
        <f t="shared" ca="1" si="51"/>
        <v>#N/A</v>
      </c>
      <c r="Q125" s="59" t="e">
        <f t="shared" ca="1" si="46"/>
        <v>#N/A</v>
      </c>
      <c r="R125" s="44" t="e">
        <f t="shared" ca="1" si="47"/>
        <v>#N/A</v>
      </c>
      <c r="S125" s="37" t="e">
        <f ca="1">IF(P125="","",IF(P125="Total",SUM($S$19:S124),VLOOKUP($P125,$B$12:$L179,11,FALSE)))</f>
        <v>#N/A</v>
      </c>
      <c r="T125" s="44" t="e">
        <f ca="1">IF(payfreq="Annually",IF(P125="","",IF(P125="Total",SUM($T$19:T124),Adj_Rate*$R125)),IF(payfreq="Semiannually",IF(P125="","",IF(P125="Total",SUM($T$19:T124),Adj_Rate/2*$R125)),IF(payfreq="Quarterly",IF(P125="","",IF(P125="Total",SUM($T$19:T124),Adj_Rate/4*$R125)),IF(payfreq="Monthly",IF(P125="","",IF(P125="Total",SUM($T$19:T124),Adj_Rate/12*$R125)),""))))</f>
        <v>#N/A</v>
      </c>
      <c r="U125" s="37" t="e">
        <f t="shared" ca="1" si="48"/>
        <v>#N/A</v>
      </c>
      <c r="V125" s="44" t="e">
        <f t="shared" ca="1" si="49"/>
        <v>#N/A</v>
      </c>
    </row>
    <row r="126" spans="2:22">
      <c r="B126" s="38">
        <v>107</v>
      </c>
      <c r="C126" s="77" t="e">
        <f t="shared" ca="1" si="50"/>
        <v>#N/A</v>
      </c>
      <c r="D126" s="78" t="e">
        <f ca="1">+IF(AND(B126&lt;$G$7),VLOOKUP($B$1,Inventory!$A$1:$BC$500,35,FALSE),IF(AND(B126=$G$7,pmt_timing="End"),VLOOKUP($B$1,Inventory!$A$1:$BC$500,35,FALSE),0))</f>
        <v>#N/A</v>
      </c>
      <c r="E126" s="78">
        <v>0</v>
      </c>
      <c r="F126" s="78">
        <v>0</v>
      </c>
      <c r="G126" s="78">
        <v>0</v>
      </c>
      <c r="H126" s="78">
        <v>0</v>
      </c>
      <c r="I126" s="78">
        <v>0</v>
      </c>
      <c r="J126" s="78">
        <v>0</v>
      </c>
      <c r="K126" s="78">
        <v>0</v>
      </c>
      <c r="L126" s="36" t="e">
        <f t="shared" ca="1" si="45"/>
        <v>#N/A</v>
      </c>
      <c r="M126" s="37" t="e">
        <f t="shared" ca="1" si="43"/>
        <v>#N/A</v>
      </c>
      <c r="N126" s="37" t="e">
        <f t="shared" ca="1" si="44"/>
        <v>#N/A</v>
      </c>
      <c r="P126" s="35" t="e">
        <f t="shared" ca="1" si="51"/>
        <v>#N/A</v>
      </c>
      <c r="Q126" s="59" t="e">
        <f t="shared" ca="1" si="46"/>
        <v>#N/A</v>
      </c>
      <c r="R126" s="44" t="e">
        <f t="shared" ca="1" si="47"/>
        <v>#N/A</v>
      </c>
      <c r="S126" s="37" t="e">
        <f ca="1">IF(P126="","",IF(P126="Total",SUM($S$19:S125),VLOOKUP($P126,$B$12:$L180,11,FALSE)))</f>
        <v>#N/A</v>
      </c>
      <c r="T126" s="44" t="e">
        <f ca="1">IF(payfreq="Annually",IF(P126="","",IF(P126="Total",SUM($T$19:T125),Adj_Rate*$R126)),IF(payfreq="Semiannually",IF(P126="","",IF(P126="Total",SUM($T$19:T125),Adj_Rate/2*$R126)),IF(payfreq="Quarterly",IF(P126="","",IF(P126="Total",SUM($T$19:T125),Adj_Rate/4*$R126)),IF(payfreq="Monthly",IF(P126="","",IF(P126="Total",SUM($T$19:T125),Adj_Rate/12*$R126)),""))))</f>
        <v>#N/A</v>
      </c>
      <c r="U126" s="37" t="e">
        <f t="shared" ca="1" si="48"/>
        <v>#N/A</v>
      </c>
      <c r="V126" s="44" t="e">
        <f t="shared" ca="1" si="49"/>
        <v>#N/A</v>
      </c>
    </row>
    <row r="127" spans="2:22">
      <c r="B127" s="38">
        <v>108</v>
      </c>
      <c r="C127" s="77" t="e">
        <f t="shared" ca="1" si="50"/>
        <v>#N/A</v>
      </c>
      <c r="D127" s="78" t="e">
        <f ca="1">+IF(AND(B127&lt;$G$7),VLOOKUP($B$1,Inventory!$A$1:$BC$500,35,FALSE),IF(AND(B127=$G$7,pmt_timing="End"),VLOOKUP($B$1,Inventory!$A$1:$BC$500,35,FALSE),0))</f>
        <v>#N/A</v>
      </c>
      <c r="E127" s="78">
        <v>0</v>
      </c>
      <c r="F127" s="78">
        <v>0</v>
      </c>
      <c r="G127" s="78">
        <v>0</v>
      </c>
      <c r="H127" s="78">
        <v>0</v>
      </c>
      <c r="I127" s="78">
        <v>0</v>
      </c>
      <c r="J127" s="78">
        <v>0</v>
      </c>
      <c r="K127" s="78">
        <v>0</v>
      </c>
      <c r="L127" s="36" t="e">
        <f t="shared" ca="1" si="45"/>
        <v>#N/A</v>
      </c>
      <c r="M127" s="37" t="e">
        <f t="shared" ca="1" si="43"/>
        <v>#N/A</v>
      </c>
      <c r="N127" s="37" t="e">
        <f t="shared" ca="1" si="44"/>
        <v>#N/A</v>
      </c>
      <c r="P127" s="35" t="e">
        <f t="shared" ca="1" si="51"/>
        <v>#N/A</v>
      </c>
      <c r="Q127" s="59" t="e">
        <f t="shared" ca="1" si="46"/>
        <v>#N/A</v>
      </c>
      <c r="R127" s="44" t="e">
        <f t="shared" ca="1" si="47"/>
        <v>#N/A</v>
      </c>
      <c r="S127" s="37" t="e">
        <f ca="1">IF(P127="","",IF(P127="Total",SUM($S$19:S126),VLOOKUP($P127,$B$12:$L181,11,FALSE)))</f>
        <v>#N/A</v>
      </c>
      <c r="T127" s="44" t="e">
        <f ca="1">IF(payfreq="Annually",IF(P127="","",IF(P127="Total",SUM($T$19:T126),Adj_Rate*$R127)),IF(payfreq="Semiannually",IF(P127="","",IF(P127="Total",SUM($T$19:T126),Adj_Rate/2*$R127)),IF(payfreq="Quarterly",IF(P127="","",IF(P127="Total",SUM($T$19:T126),Adj_Rate/4*$R127)),IF(payfreq="Monthly",IF(P127="","",IF(P127="Total",SUM($T$19:T126),Adj_Rate/12*$R127)),""))))</f>
        <v>#N/A</v>
      </c>
      <c r="U127" s="37" t="e">
        <f t="shared" ca="1" si="48"/>
        <v>#N/A</v>
      </c>
      <c r="V127" s="44" t="e">
        <f t="shared" ca="1" si="49"/>
        <v>#N/A</v>
      </c>
    </row>
    <row r="128" spans="2:22">
      <c r="B128" s="38">
        <v>109</v>
      </c>
      <c r="C128" s="77" t="e">
        <f t="shared" ca="1" si="50"/>
        <v>#N/A</v>
      </c>
      <c r="D128" s="78" t="e">
        <f ca="1">+IF(AND(B128&lt;$G$7),VLOOKUP($B$1,Inventory!$A$1:$BC$500,35,FALSE),IF(AND(B128=$G$7,pmt_timing="End"),VLOOKUP($B$1,Inventory!$A$1:$BC$500,35,FALSE),0))</f>
        <v>#N/A</v>
      </c>
      <c r="E128" s="78">
        <v>0</v>
      </c>
      <c r="F128" s="78">
        <v>0</v>
      </c>
      <c r="G128" s="78">
        <v>0</v>
      </c>
      <c r="H128" s="78">
        <v>0</v>
      </c>
      <c r="I128" s="78">
        <v>0</v>
      </c>
      <c r="J128" s="78">
        <v>0</v>
      </c>
      <c r="K128" s="78">
        <v>0</v>
      </c>
      <c r="L128" s="36" t="e">
        <f t="shared" ca="1" si="45"/>
        <v>#N/A</v>
      </c>
      <c r="M128" s="37" t="e">
        <f t="shared" ca="1" si="43"/>
        <v>#N/A</v>
      </c>
      <c r="N128" s="37" t="e">
        <f t="shared" ca="1" si="44"/>
        <v>#N/A</v>
      </c>
      <c r="P128" s="35" t="e">
        <f t="shared" ca="1" si="51"/>
        <v>#N/A</v>
      </c>
      <c r="Q128" s="59" t="e">
        <f t="shared" ca="1" si="46"/>
        <v>#N/A</v>
      </c>
      <c r="R128" s="44" t="e">
        <f t="shared" ca="1" si="47"/>
        <v>#N/A</v>
      </c>
      <c r="S128" s="37" t="e">
        <f ca="1">IF(P128="","",IF(P128="Total",SUM($S$19:S127),VLOOKUP($P128,$B$12:$L182,11,FALSE)))</f>
        <v>#N/A</v>
      </c>
      <c r="T128" s="44" t="e">
        <f ca="1">IF(payfreq="Annually",IF(P128="","",IF(P128="Total",SUM($T$19:T127),Adj_Rate*$R128)),IF(payfreq="Semiannually",IF(P128="","",IF(P128="Total",SUM($T$19:T127),Adj_Rate/2*$R128)),IF(payfreq="Quarterly",IF(P128="","",IF(P128="Total",SUM($T$19:T127),Adj_Rate/4*$R128)),IF(payfreq="Monthly",IF(P128="","",IF(P128="Total",SUM($T$19:T127),Adj_Rate/12*$R128)),""))))</f>
        <v>#N/A</v>
      </c>
      <c r="U128" s="37" t="e">
        <f t="shared" ca="1" si="48"/>
        <v>#N/A</v>
      </c>
      <c r="V128" s="44" t="e">
        <f t="shared" ca="1" si="49"/>
        <v>#N/A</v>
      </c>
    </row>
    <row r="129" spans="2:22">
      <c r="B129" s="38">
        <v>110</v>
      </c>
      <c r="C129" s="77" t="e">
        <f t="shared" ca="1" si="50"/>
        <v>#N/A</v>
      </c>
      <c r="D129" s="78" t="e">
        <f ca="1">+IF(AND(B129&lt;$G$7),VLOOKUP($B$1,Inventory!$A$1:$BC$500,35,FALSE),IF(AND(B129=$G$7,pmt_timing="End"),VLOOKUP($B$1,Inventory!$A$1:$BC$500,35,FALSE),0))</f>
        <v>#N/A</v>
      </c>
      <c r="E129" s="78">
        <v>0</v>
      </c>
      <c r="F129" s="78">
        <v>0</v>
      </c>
      <c r="G129" s="78">
        <v>0</v>
      </c>
      <c r="H129" s="78">
        <v>0</v>
      </c>
      <c r="I129" s="78">
        <v>0</v>
      </c>
      <c r="J129" s="78">
        <v>0</v>
      </c>
      <c r="K129" s="78">
        <v>0</v>
      </c>
      <c r="L129" s="36" t="e">
        <f t="shared" ca="1" si="45"/>
        <v>#N/A</v>
      </c>
      <c r="M129" s="37" t="e">
        <f t="shared" ca="1" si="43"/>
        <v>#N/A</v>
      </c>
      <c r="N129" s="37" t="e">
        <f t="shared" ca="1" si="44"/>
        <v>#N/A</v>
      </c>
      <c r="P129" s="35" t="e">
        <f t="shared" ca="1" si="51"/>
        <v>#N/A</v>
      </c>
      <c r="Q129" s="59" t="e">
        <f t="shared" ca="1" si="46"/>
        <v>#N/A</v>
      </c>
      <c r="R129" s="44" t="e">
        <f t="shared" ca="1" si="47"/>
        <v>#N/A</v>
      </c>
      <c r="S129" s="37" t="e">
        <f ca="1">IF(P129="","",IF(P129="Total",SUM($S$19:S128),VLOOKUP($P129,$B$12:$L183,11,FALSE)))</f>
        <v>#N/A</v>
      </c>
      <c r="T129" s="44" t="e">
        <f ca="1">IF(payfreq="Annually",IF(P129="","",IF(P129="Total",SUM($T$19:T128),Adj_Rate*$R129)),IF(payfreq="Semiannually",IF(P129="","",IF(P129="Total",SUM($T$19:T128),Adj_Rate/2*$R129)),IF(payfreq="Quarterly",IF(P129="","",IF(P129="Total",SUM($T$19:T128),Adj_Rate/4*$R129)),IF(payfreq="Monthly",IF(P129="","",IF(P129="Total",SUM($T$19:T128),Adj_Rate/12*$R129)),""))))</f>
        <v>#N/A</v>
      </c>
      <c r="U129" s="37" t="e">
        <f t="shared" ca="1" si="48"/>
        <v>#N/A</v>
      </c>
      <c r="V129" s="44" t="e">
        <f t="shared" ca="1" si="49"/>
        <v>#N/A</v>
      </c>
    </row>
    <row r="130" spans="2:22">
      <c r="B130" s="38">
        <v>111</v>
      </c>
      <c r="C130" s="77" t="e">
        <f t="shared" ca="1" si="50"/>
        <v>#N/A</v>
      </c>
      <c r="D130" s="78" t="e">
        <f ca="1">+IF(AND(B130&lt;$G$7),VLOOKUP($B$1,Inventory!$A$1:$BC$500,35,FALSE),IF(AND(B130=$G$7,pmt_timing="End"),VLOOKUP($B$1,Inventory!$A$1:$BC$500,35,FALSE),0))</f>
        <v>#N/A</v>
      </c>
      <c r="E130" s="78">
        <v>0</v>
      </c>
      <c r="F130" s="78">
        <v>0</v>
      </c>
      <c r="G130" s="78">
        <v>0</v>
      </c>
      <c r="H130" s="78">
        <v>0</v>
      </c>
      <c r="I130" s="78">
        <v>0</v>
      </c>
      <c r="J130" s="78">
        <v>0</v>
      </c>
      <c r="K130" s="78">
        <v>0</v>
      </c>
      <c r="L130" s="36" t="e">
        <f t="shared" ca="1" si="45"/>
        <v>#N/A</v>
      </c>
      <c r="M130" s="37" t="e">
        <f t="shared" ca="1" si="43"/>
        <v>#N/A</v>
      </c>
      <c r="N130" s="37" t="e">
        <f t="shared" ca="1" si="44"/>
        <v>#N/A</v>
      </c>
      <c r="P130" s="35" t="e">
        <f t="shared" ca="1" si="51"/>
        <v>#N/A</v>
      </c>
      <c r="Q130" s="59" t="e">
        <f t="shared" ca="1" si="46"/>
        <v>#N/A</v>
      </c>
      <c r="R130" s="44" t="e">
        <f t="shared" ca="1" si="47"/>
        <v>#N/A</v>
      </c>
      <c r="S130" s="37" t="e">
        <f ca="1">IF(P130="","",IF(P130="Total",SUM($S$19:S129),VLOOKUP($P130,$B$12:$L184,11,FALSE)))</f>
        <v>#N/A</v>
      </c>
      <c r="T130" s="44" t="e">
        <f ca="1">IF(payfreq="Annually",IF(P130="","",IF(P130="Total",SUM($T$19:T129),Adj_Rate*$R130)),IF(payfreq="Semiannually",IF(P130="","",IF(P130="Total",SUM($T$19:T129),Adj_Rate/2*$R130)),IF(payfreq="Quarterly",IF(P130="","",IF(P130="Total",SUM($T$19:T129),Adj_Rate/4*$R130)),IF(payfreq="Monthly",IF(P130="","",IF(P130="Total",SUM($T$19:T129),Adj_Rate/12*$R130)),""))))</f>
        <v>#N/A</v>
      </c>
      <c r="U130" s="37" t="e">
        <f t="shared" ca="1" si="48"/>
        <v>#N/A</v>
      </c>
      <c r="V130" s="44" t="e">
        <f t="shared" ca="1" si="49"/>
        <v>#N/A</v>
      </c>
    </row>
    <row r="131" spans="2:22">
      <c r="B131" s="38">
        <v>112</v>
      </c>
      <c r="C131" s="77" t="e">
        <f t="shared" ca="1" si="50"/>
        <v>#N/A</v>
      </c>
      <c r="D131" s="78" t="e">
        <f ca="1">+IF(AND(B131&lt;$G$7),VLOOKUP($B$1,Inventory!$A$1:$BC$500,35,FALSE),IF(AND(B131=$G$7,pmt_timing="End"),VLOOKUP($B$1,Inventory!$A$1:$BC$500,35,FALSE),0))</f>
        <v>#N/A</v>
      </c>
      <c r="E131" s="78">
        <v>0</v>
      </c>
      <c r="F131" s="78">
        <v>0</v>
      </c>
      <c r="G131" s="78">
        <v>0</v>
      </c>
      <c r="H131" s="78">
        <v>0</v>
      </c>
      <c r="I131" s="78">
        <v>0</v>
      </c>
      <c r="J131" s="78">
        <v>0</v>
      </c>
      <c r="K131" s="78">
        <v>0</v>
      </c>
      <c r="L131" s="36" t="e">
        <f t="shared" ca="1" si="45"/>
        <v>#N/A</v>
      </c>
      <c r="M131" s="37" t="e">
        <f t="shared" ca="1" si="43"/>
        <v>#N/A</v>
      </c>
      <c r="N131" s="37" t="e">
        <f t="shared" ca="1" si="44"/>
        <v>#N/A</v>
      </c>
      <c r="P131" s="35" t="e">
        <f t="shared" ca="1" si="51"/>
        <v>#N/A</v>
      </c>
      <c r="Q131" s="59" t="e">
        <f t="shared" ca="1" si="46"/>
        <v>#N/A</v>
      </c>
      <c r="R131" s="44" t="e">
        <f t="shared" ca="1" si="47"/>
        <v>#N/A</v>
      </c>
      <c r="S131" s="37" t="e">
        <f ca="1">IF(P131="","",IF(P131="Total",SUM($S$19:S130),VLOOKUP($P131,$B$12:$L185,11,FALSE)))</f>
        <v>#N/A</v>
      </c>
      <c r="T131" s="44" t="e">
        <f ca="1">IF(payfreq="Annually",IF(P131="","",IF(P131="Total",SUM($T$19:T130),Adj_Rate*$R131)),IF(payfreq="Semiannually",IF(P131="","",IF(P131="Total",SUM($T$19:T130),Adj_Rate/2*$R131)),IF(payfreq="Quarterly",IF(P131="","",IF(P131="Total",SUM($T$19:T130),Adj_Rate/4*$R131)),IF(payfreq="Monthly",IF(P131="","",IF(P131="Total",SUM($T$19:T130),Adj_Rate/12*$R131)),""))))</f>
        <v>#N/A</v>
      </c>
      <c r="U131" s="37" t="e">
        <f t="shared" ca="1" si="48"/>
        <v>#N/A</v>
      </c>
      <c r="V131" s="44" t="e">
        <f t="shared" ca="1" si="49"/>
        <v>#N/A</v>
      </c>
    </row>
    <row r="132" spans="2:22">
      <c r="B132" s="38">
        <v>113</v>
      </c>
      <c r="C132" s="77" t="e">
        <f t="shared" ca="1" si="50"/>
        <v>#N/A</v>
      </c>
      <c r="D132" s="78" t="e">
        <f ca="1">+IF(AND(B132&lt;$G$7),VLOOKUP($B$1,Inventory!$A$1:$BC$500,35,FALSE),IF(AND(B132=$G$7,pmt_timing="End"),VLOOKUP($B$1,Inventory!$A$1:$BC$500,35,FALSE),0))</f>
        <v>#N/A</v>
      </c>
      <c r="E132" s="78">
        <v>0</v>
      </c>
      <c r="F132" s="78">
        <v>0</v>
      </c>
      <c r="G132" s="78">
        <v>0</v>
      </c>
      <c r="H132" s="78">
        <v>0</v>
      </c>
      <c r="I132" s="78">
        <v>0</v>
      </c>
      <c r="J132" s="78">
        <v>0</v>
      </c>
      <c r="K132" s="78">
        <v>0</v>
      </c>
      <c r="L132" s="36" t="e">
        <f t="shared" ca="1" si="45"/>
        <v>#N/A</v>
      </c>
      <c r="M132" s="37" t="e">
        <f t="shared" ca="1" si="43"/>
        <v>#N/A</v>
      </c>
      <c r="N132" s="37" t="e">
        <f t="shared" ca="1" si="44"/>
        <v>#N/A</v>
      </c>
      <c r="P132" s="35" t="e">
        <f t="shared" ca="1" si="51"/>
        <v>#N/A</v>
      </c>
      <c r="Q132" s="59" t="e">
        <f t="shared" ca="1" si="46"/>
        <v>#N/A</v>
      </c>
      <c r="R132" s="44" t="e">
        <f t="shared" ca="1" si="47"/>
        <v>#N/A</v>
      </c>
      <c r="S132" s="37" t="e">
        <f ca="1">IF(P132="","",IF(P132="Total",SUM($S$19:S131),VLOOKUP($P132,$B$12:$L186,11,FALSE)))</f>
        <v>#N/A</v>
      </c>
      <c r="T132" s="44" t="e">
        <f ca="1">IF(payfreq="Annually",IF(P132="","",IF(P132="Total",SUM($T$19:T131),Adj_Rate*$R132)),IF(payfreq="Semiannually",IF(P132="","",IF(P132="Total",SUM($T$19:T131),Adj_Rate/2*$R132)),IF(payfreq="Quarterly",IF(P132="","",IF(P132="Total",SUM($T$19:T131),Adj_Rate/4*$R132)),IF(payfreq="Monthly",IF(P132="","",IF(P132="Total",SUM($T$19:T131),Adj_Rate/12*$R132)),""))))</f>
        <v>#N/A</v>
      </c>
      <c r="U132" s="37" t="e">
        <f t="shared" ca="1" si="48"/>
        <v>#N/A</v>
      </c>
      <c r="V132" s="44" t="e">
        <f t="shared" ca="1" si="49"/>
        <v>#N/A</v>
      </c>
    </row>
    <row r="133" spans="2:22">
      <c r="B133" s="38">
        <v>114</v>
      </c>
      <c r="C133" s="77" t="e">
        <f t="shared" ca="1" si="50"/>
        <v>#N/A</v>
      </c>
      <c r="D133" s="78" t="e">
        <f ca="1">+IF(AND(B133&lt;$G$7),VLOOKUP($B$1,Inventory!$A$1:$BC$500,35,FALSE),IF(AND(B133=$G$7,pmt_timing="End"),VLOOKUP($B$1,Inventory!$A$1:$BC$500,35,FALSE),0))</f>
        <v>#N/A</v>
      </c>
      <c r="E133" s="78">
        <v>0</v>
      </c>
      <c r="F133" s="78">
        <v>0</v>
      </c>
      <c r="G133" s="78">
        <v>0</v>
      </c>
      <c r="H133" s="78">
        <v>0</v>
      </c>
      <c r="I133" s="78">
        <v>0</v>
      </c>
      <c r="J133" s="78">
        <v>0</v>
      </c>
      <c r="K133" s="78">
        <v>0</v>
      </c>
      <c r="L133" s="36" t="e">
        <f t="shared" ca="1" si="45"/>
        <v>#N/A</v>
      </c>
      <c r="M133" s="37" t="e">
        <f t="shared" ca="1" si="43"/>
        <v>#N/A</v>
      </c>
      <c r="N133" s="37" t="e">
        <f t="shared" ca="1" si="44"/>
        <v>#N/A</v>
      </c>
      <c r="P133" s="35" t="e">
        <f t="shared" ca="1" si="51"/>
        <v>#N/A</v>
      </c>
      <c r="Q133" s="59" t="e">
        <f t="shared" ca="1" si="46"/>
        <v>#N/A</v>
      </c>
      <c r="R133" s="44" t="e">
        <f t="shared" ca="1" si="47"/>
        <v>#N/A</v>
      </c>
      <c r="S133" s="37" t="e">
        <f ca="1">IF(P133="","",IF(P133="Total",SUM($S$19:S132),VLOOKUP($P133,$B$12:$L187,11,FALSE)))</f>
        <v>#N/A</v>
      </c>
      <c r="T133" s="44" t="e">
        <f ca="1">IF(payfreq="Annually",IF(P133="","",IF(P133="Total",SUM($T$19:T132),Adj_Rate*$R133)),IF(payfreq="Semiannually",IF(P133="","",IF(P133="Total",SUM($T$19:T132),Adj_Rate/2*$R133)),IF(payfreq="Quarterly",IF(P133="","",IF(P133="Total",SUM($T$19:T132),Adj_Rate/4*$R133)),IF(payfreq="Monthly",IF(P133="","",IF(P133="Total",SUM($T$19:T132),Adj_Rate/12*$R133)),""))))</f>
        <v>#N/A</v>
      </c>
      <c r="U133" s="37" t="e">
        <f t="shared" ca="1" si="48"/>
        <v>#N/A</v>
      </c>
      <c r="V133" s="44" t="e">
        <f t="shared" ca="1" si="49"/>
        <v>#N/A</v>
      </c>
    </row>
    <row r="134" spans="2:22">
      <c r="B134" s="38">
        <v>115</v>
      </c>
      <c r="C134" s="77" t="e">
        <f t="shared" ca="1" si="50"/>
        <v>#N/A</v>
      </c>
      <c r="D134" s="78" t="e">
        <f ca="1">+IF(AND(B134&lt;$G$7),VLOOKUP($B$1,Inventory!$A$1:$BC$500,35,FALSE),IF(AND(B134=$G$7,pmt_timing="End"),VLOOKUP($B$1,Inventory!$A$1:$BC$500,35,FALSE),0))</f>
        <v>#N/A</v>
      </c>
      <c r="E134" s="78">
        <v>0</v>
      </c>
      <c r="F134" s="78">
        <v>0</v>
      </c>
      <c r="G134" s="78">
        <v>0</v>
      </c>
      <c r="H134" s="78">
        <v>0</v>
      </c>
      <c r="I134" s="78">
        <v>0</v>
      </c>
      <c r="J134" s="78">
        <v>0</v>
      </c>
      <c r="K134" s="78">
        <v>0</v>
      </c>
      <c r="L134" s="36" t="e">
        <f t="shared" ca="1" si="45"/>
        <v>#N/A</v>
      </c>
      <c r="M134" s="37" t="e">
        <f t="shared" ca="1" si="43"/>
        <v>#N/A</v>
      </c>
      <c r="N134" s="37" t="e">
        <f t="shared" ca="1" si="44"/>
        <v>#N/A</v>
      </c>
      <c r="P134" s="35" t="e">
        <f t="shared" ca="1" si="51"/>
        <v>#N/A</v>
      </c>
      <c r="Q134" s="59" t="e">
        <f t="shared" ca="1" si="46"/>
        <v>#N/A</v>
      </c>
      <c r="R134" s="44" t="e">
        <f t="shared" ca="1" si="47"/>
        <v>#N/A</v>
      </c>
      <c r="S134" s="37" t="e">
        <f ca="1">IF(P134="","",IF(P134="Total",SUM($S$19:S133),VLOOKUP($P134,$B$12:$L188,11,FALSE)))</f>
        <v>#N/A</v>
      </c>
      <c r="T134" s="44" t="e">
        <f ca="1">IF(payfreq="Annually",IF(P134="","",IF(P134="Total",SUM($T$19:T133),Adj_Rate*$R134)),IF(payfreq="Semiannually",IF(P134="","",IF(P134="Total",SUM($T$19:T133),Adj_Rate/2*$R134)),IF(payfreq="Quarterly",IF(P134="","",IF(P134="Total",SUM($T$19:T133),Adj_Rate/4*$R134)),IF(payfreq="Monthly",IF(P134="","",IF(P134="Total",SUM($T$19:T133),Adj_Rate/12*$R134)),""))))</f>
        <v>#N/A</v>
      </c>
      <c r="U134" s="37" t="e">
        <f t="shared" ca="1" si="48"/>
        <v>#N/A</v>
      </c>
      <c r="V134" s="44" t="e">
        <f t="shared" ca="1" si="49"/>
        <v>#N/A</v>
      </c>
    </row>
    <row r="135" spans="2:22">
      <c r="B135" s="38">
        <v>116</v>
      </c>
      <c r="C135" s="77" t="e">
        <f t="shared" ca="1" si="50"/>
        <v>#N/A</v>
      </c>
      <c r="D135" s="78" t="e">
        <f ca="1">+IF(AND(B135&lt;$G$7),VLOOKUP($B$1,Inventory!$A$1:$BC$500,35,FALSE),IF(AND(B135=$G$7,pmt_timing="End"),VLOOKUP($B$1,Inventory!$A$1:$BC$500,35,FALSE),0))</f>
        <v>#N/A</v>
      </c>
      <c r="E135" s="78">
        <v>0</v>
      </c>
      <c r="F135" s="78">
        <v>0</v>
      </c>
      <c r="G135" s="78">
        <v>0</v>
      </c>
      <c r="H135" s="78">
        <v>0</v>
      </c>
      <c r="I135" s="78">
        <v>0</v>
      </c>
      <c r="J135" s="78">
        <v>0</v>
      </c>
      <c r="K135" s="78">
        <v>0</v>
      </c>
      <c r="L135" s="36" t="e">
        <f t="shared" ca="1" si="45"/>
        <v>#N/A</v>
      </c>
      <c r="M135" s="37" t="e">
        <f t="shared" ca="1" si="43"/>
        <v>#N/A</v>
      </c>
      <c r="N135" s="37" t="e">
        <f t="shared" ca="1" si="44"/>
        <v>#N/A</v>
      </c>
      <c r="P135" s="35" t="e">
        <f t="shared" ca="1" si="51"/>
        <v>#N/A</v>
      </c>
      <c r="Q135" s="59" t="e">
        <f t="shared" ca="1" si="46"/>
        <v>#N/A</v>
      </c>
      <c r="R135" s="44" t="e">
        <f t="shared" ca="1" si="47"/>
        <v>#N/A</v>
      </c>
      <c r="S135" s="37" t="e">
        <f ca="1">IF(P135="","",IF(P135="Total",SUM($S$19:S134),VLOOKUP($P135,$B$12:$L189,11,FALSE)))</f>
        <v>#N/A</v>
      </c>
      <c r="T135" s="44" t="e">
        <f ca="1">IF(payfreq="Annually",IF(P135="","",IF(P135="Total",SUM($T$19:T134),Adj_Rate*$R135)),IF(payfreq="Semiannually",IF(P135="","",IF(P135="Total",SUM($T$19:T134),Adj_Rate/2*$R135)),IF(payfreq="Quarterly",IF(P135="","",IF(P135="Total",SUM($T$19:T134),Adj_Rate/4*$R135)),IF(payfreq="Monthly",IF(P135="","",IF(P135="Total",SUM($T$19:T134),Adj_Rate/12*$R135)),""))))</f>
        <v>#N/A</v>
      </c>
      <c r="U135" s="37" t="e">
        <f t="shared" ca="1" si="48"/>
        <v>#N/A</v>
      </c>
      <c r="V135" s="44" t="e">
        <f t="shared" ca="1" si="49"/>
        <v>#N/A</v>
      </c>
    </row>
    <row r="136" spans="2:22">
      <c r="B136" s="38">
        <v>117</v>
      </c>
      <c r="C136" s="77" t="e">
        <f t="shared" ca="1" si="50"/>
        <v>#N/A</v>
      </c>
      <c r="D136" s="78" t="e">
        <f ca="1">+IF(AND(B136&lt;$G$7),VLOOKUP($B$1,Inventory!$A$1:$BC$500,35,FALSE),IF(AND(B136=$G$7,pmt_timing="End"),VLOOKUP($B$1,Inventory!$A$1:$BC$500,35,FALSE),0))</f>
        <v>#N/A</v>
      </c>
      <c r="E136" s="78">
        <v>0</v>
      </c>
      <c r="F136" s="78">
        <v>0</v>
      </c>
      <c r="G136" s="78">
        <v>0</v>
      </c>
      <c r="H136" s="78">
        <v>0</v>
      </c>
      <c r="I136" s="78">
        <v>0</v>
      </c>
      <c r="J136" s="78">
        <v>0</v>
      </c>
      <c r="K136" s="78">
        <v>0</v>
      </c>
      <c r="L136" s="36" t="e">
        <f t="shared" ca="1" si="45"/>
        <v>#N/A</v>
      </c>
      <c r="M136" s="37" t="e">
        <f t="shared" ca="1" si="43"/>
        <v>#N/A</v>
      </c>
      <c r="N136" s="37" t="e">
        <f t="shared" ca="1" si="44"/>
        <v>#N/A</v>
      </c>
      <c r="P136" s="35" t="e">
        <f t="shared" ca="1" si="51"/>
        <v>#N/A</v>
      </c>
      <c r="Q136" s="59" t="e">
        <f t="shared" ca="1" si="46"/>
        <v>#N/A</v>
      </c>
      <c r="R136" s="44" t="e">
        <f t="shared" ca="1" si="47"/>
        <v>#N/A</v>
      </c>
      <c r="S136" s="37" t="e">
        <f ca="1">IF(P136="","",IF(P136="Total",SUM($S$19:S135),VLOOKUP($P136,$B$12:$L190,11,FALSE)))</f>
        <v>#N/A</v>
      </c>
      <c r="T136" s="44" t="e">
        <f ca="1">IF(payfreq="Annually",IF(P136="","",IF(P136="Total",SUM($T$19:T135),Adj_Rate*$R136)),IF(payfreq="Semiannually",IF(P136="","",IF(P136="Total",SUM($T$19:T135),Adj_Rate/2*$R136)),IF(payfreq="Quarterly",IF(P136="","",IF(P136="Total",SUM($T$19:T135),Adj_Rate/4*$R136)),IF(payfreq="Monthly",IF(P136="","",IF(P136="Total",SUM($T$19:T135),Adj_Rate/12*$R136)),""))))</f>
        <v>#N/A</v>
      </c>
      <c r="U136" s="37" t="e">
        <f t="shared" ca="1" si="48"/>
        <v>#N/A</v>
      </c>
      <c r="V136" s="44" t="e">
        <f t="shared" ca="1" si="49"/>
        <v>#N/A</v>
      </c>
    </row>
    <row r="137" spans="2:22">
      <c r="B137" s="38">
        <v>118</v>
      </c>
      <c r="C137" s="77" t="e">
        <f t="shared" ca="1" si="50"/>
        <v>#N/A</v>
      </c>
      <c r="D137" s="78" t="e">
        <f ca="1">+IF(AND(B137&lt;$G$7),VLOOKUP($B$1,Inventory!$A$1:$BC$500,35,FALSE),IF(AND(B137=$G$7,pmt_timing="End"),VLOOKUP($B$1,Inventory!$A$1:$BC$500,35,FALSE),0))</f>
        <v>#N/A</v>
      </c>
      <c r="E137" s="78">
        <v>0</v>
      </c>
      <c r="F137" s="78">
        <v>0</v>
      </c>
      <c r="G137" s="78">
        <v>0</v>
      </c>
      <c r="H137" s="78">
        <v>0</v>
      </c>
      <c r="I137" s="78">
        <v>0</v>
      </c>
      <c r="J137" s="78">
        <v>0</v>
      </c>
      <c r="K137" s="78">
        <v>0</v>
      </c>
      <c r="L137" s="36" t="e">
        <f t="shared" ca="1" si="45"/>
        <v>#N/A</v>
      </c>
      <c r="M137" s="37" t="e">
        <f t="shared" ca="1" si="43"/>
        <v>#N/A</v>
      </c>
      <c r="N137" s="37" t="e">
        <f t="shared" ca="1" si="44"/>
        <v>#N/A</v>
      </c>
      <c r="P137" s="35" t="e">
        <f t="shared" ca="1" si="51"/>
        <v>#N/A</v>
      </c>
      <c r="Q137" s="59" t="e">
        <f t="shared" ca="1" si="46"/>
        <v>#N/A</v>
      </c>
      <c r="R137" s="44" t="e">
        <f t="shared" ca="1" si="47"/>
        <v>#N/A</v>
      </c>
      <c r="S137" s="37" t="e">
        <f ca="1">IF(P137="","",IF(P137="Total",SUM($S$19:S136),VLOOKUP($P137,$B$12:$L191,11,FALSE)))</f>
        <v>#N/A</v>
      </c>
      <c r="T137" s="44" t="e">
        <f ca="1">IF(payfreq="Annually",IF(P137="","",IF(P137="Total",SUM($T$19:T136),Adj_Rate*$R137)),IF(payfreq="Semiannually",IF(P137="","",IF(P137="Total",SUM($T$19:T136),Adj_Rate/2*$R137)),IF(payfreq="Quarterly",IF(P137="","",IF(P137="Total",SUM($T$19:T136),Adj_Rate/4*$R137)),IF(payfreq="Monthly",IF(P137="","",IF(P137="Total",SUM($T$19:T136),Adj_Rate/12*$R137)),""))))</f>
        <v>#N/A</v>
      </c>
      <c r="U137" s="37" t="e">
        <f t="shared" ca="1" si="48"/>
        <v>#N/A</v>
      </c>
      <c r="V137" s="44" t="e">
        <f t="shared" ca="1" si="49"/>
        <v>#N/A</v>
      </c>
    </row>
    <row r="138" spans="2:22">
      <c r="B138" s="38">
        <v>119</v>
      </c>
      <c r="C138" s="77" t="e">
        <f t="shared" ca="1" si="50"/>
        <v>#N/A</v>
      </c>
      <c r="D138" s="78" t="e">
        <f ca="1">+IF(AND(B138&lt;$G$7),VLOOKUP($B$1,Inventory!$A$1:$BC$500,35,FALSE),IF(AND(B138=$G$7,pmt_timing="End"),VLOOKUP($B$1,Inventory!$A$1:$BC$500,35,FALSE),0))</f>
        <v>#N/A</v>
      </c>
      <c r="E138" s="78">
        <v>0</v>
      </c>
      <c r="F138" s="78">
        <v>0</v>
      </c>
      <c r="G138" s="78">
        <v>0</v>
      </c>
      <c r="H138" s="78">
        <v>0</v>
      </c>
      <c r="I138" s="78">
        <v>0</v>
      </c>
      <c r="J138" s="78">
        <v>0</v>
      </c>
      <c r="K138" s="78">
        <v>0</v>
      </c>
      <c r="L138" s="36" t="e">
        <f t="shared" ca="1" si="45"/>
        <v>#N/A</v>
      </c>
      <c r="M138" s="37" t="e">
        <f t="shared" ca="1" si="43"/>
        <v>#N/A</v>
      </c>
      <c r="N138" s="37" t="e">
        <f t="shared" ca="1" si="44"/>
        <v>#N/A</v>
      </c>
      <c r="P138" s="35" t="e">
        <f t="shared" ca="1" si="51"/>
        <v>#N/A</v>
      </c>
      <c r="Q138" s="59" t="e">
        <f t="shared" ca="1" si="46"/>
        <v>#N/A</v>
      </c>
      <c r="R138" s="44" t="e">
        <f t="shared" ca="1" si="47"/>
        <v>#N/A</v>
      </c>
      <c r="S138" s="37" t="e">
        <f ca="1">IF(P138="","",IF(P138="Total",SUM($S$19:S137),VLOOKUP($P138,$B$12:$L192,11,FALSE)))</f>
        <v>#N/A</v>
      </c>
      <c r="T138" s="44" t="e">
        <f ca="1">IF(payfreq="Annually",IF(P138="","",IF(P138="Total",SUM($T$19:T137),Adj_Rate*$R138)),IF(payfreq="Semiannually",IF(P138="","",IF(P138="Total",SUM($T$19:T137),Adj_Rate/2*$R138)),IF(payfreq="Quarterly",IF(P138="","",IF(P138="Total",SUM($T$19:T137),Adj_Rate/4*$R138)),IF(payfreq="Monthly",IF(P138="","",IF(P138="Total",SUM($T$19:T137),Adj_Rate/12*$R138)),""))))</f>
        <v>#N/A</v>
      </c>
      <c r="U138" s="37" t="e">
        <f t="shared" ca="1" si="48"/>
        <v>#N/A</v>
      </c>
      <c r="V138" s="44" t="e">
        <f t="shared" ca="1" si="49"/>
        <v>#N/A</v>
      </c>
    </row>
    <row r="139" spans="2:22">
      <c r="B139" s="38">
        <v>120</v>
      </c>
      <c r="C139" s="77" t="e">
        <f t="shared" ca="1" si="50"/>
        <v>#N/A</v>
      </c>
      <c r="D139" s="78" t="e">
        <f ca="1">+IF(AND(B139&lt;$G$7),VLOOKUP($B$1,Inventory!$A$1:$BC$500,35,FALSE),IF(AND(B139=$G$7,pmt_timing="End"),VLOOKUP($B$1,Inventory!$A$1:$BC$500,35,FALSE),0))</f>
        <v>#N/A</v>
      </c>
      <c r="E139" s="78">
        <v>0</v>
      </c>
      <c r="F139" s="78">
        <v>0</v>
      </c>
      <c r="G139" s="78">
        <v>0</v>
      </c>
      <c r="H139" s="78">
        <v>0</v>
      </c>
      <c r="I139" s="78">
        <v>0</v>
      </c>
      <c r="J139" s="78">
        <v>0</v>
      </c>
      <c r="K139" s="78">
        <v>0</v>
      </c>
      <c r="L139" s="36" t="e">
        <f t="shared" ca="1" si="45"/>
        <v>#N/A</v>
      </c>
      <c r="M139" s="37" t="e">
        <f t="shared" ca="1" si="43"/>
        <v>#N/A</v>
      </c>
      <c r="N139" s="37" t="e">
        <f t="shared" ca="1" si="44"/>
        <v>#N/A</v>
      </c>
      <c r="P139" s="35" t="e">
        <f t="shared" ca="1" si="51"/>
        <v>#N/A</v>
      </c>
      <c r="Q139" s="59" t="e">
        <f t="shared" ca="1" si="46"/>
        <v>#N/A</v>
      </c>
      <c r="R139" s="44" t="e">
        <f t="shared" ca="1" si="47"/>
        <v>#N/A</v>
      </c>
      <c r="S139" s="37" t="e">
        <f ca="1">IF(P139="","",IF(P139="Total",SUM($S$19:S138),VLOOKUP($P139,$B$12:$L193,11,FALSE)))</f>
        <v>#N/A</v>
      </c>
      <c r="T139" s="44" t="e">
        <f ca="1">IF(payfreq="Annually",IF(P139="","",IF(P139="Total",SUM($T$19:T138),Adj_Rate*$R139)),IF(payfreq="Semiannually",IF(P139="","",IF(P139="Total",SUM($T$19:T138),Adj_Rate/2*$R139)),IF(payfreq="Quarterly",IF(P139="","",IF(P139="Total",SUM($T$19:T138),Adj_Rate/4*$R139)),IF(payfreq="Monthly",IF(P139="","",IF(P139="Total",SUM($T$19:T138),Adj_Rate/12*$R139)),""))))</f>
        <v>#N/A</v>
      </c>
      <c r="U139" s="37" t="e">
        <f t="shared" ca="1" si="48"/>
        <v>#N/A</v>
      </c>
      <c r="V139" s="44" t="e">
        <f t="shared" ca="1" si="49"/>
        <v>#N/A</v>
      </c>
    </row>
    <row r="140" spans="2:22">
      <c r="B140" s="38">
        <v>121</v>
      </c>
      <c r="C140" s="77" t="e">
        <f t="shared" ca="1" si="50"/>
        <v>#N/A</v>
      </c>
      <c r="D140" s="78" t="e">
        <f ca="1">+IF(AND(B140&lt;$G$7),VLOOKUP($B$1,Inventory!$A$1:$BC$500,35,FALSE),IF(AND(B140=$G$7,pmt_timing="End"),VLOOKUP($B$1,Inventory!$A$1:$BC$500,35,FALSE),0))</f>
        <v>#N/A</v>
      </c>
      <c r="E140" s="78">
        <v>0</v>
      </c>
      <c r="F140" s="78">
        <v>0</v>
      </c>
      <c r="G140" s="78">
        <v>0</v>
      </c>
      <c r="H140" s="78">
        <v>0</v>
      </c>
      <c r="I140" s="78">
        <v>0</v>
      </c>
      <c r="J140" s="78">
        <v>0</v>
      </c>
      <c r="K140" s="78">
        <v>0</v>
      </c>
      <c r="L140" s="36" t="e">
        <f t="shared" ca="1" si="45"/>
        <v>#N/A</v>
      </c>
      <c r="M140" s="37" t="e">
        <f t="shared" ca="1" si="43"/>
        <v>#N/A</v>
      </c>
      <c r="N140" s="37" t="e">
        <f t="shared" ca="1" si="44"/>
        <v>#N/A</v>
      </c>
      <c r="P140" s="35" t="e">
        <f t="shared" ca="1" si="51"/>
        <v>#N/A</v>
      </c>
      <c r="Q140" s="59" t="e">
        <f t="shared" ca="1" si="46"/>
        <v>#N/A</v>
      </c>
      <c r="R140" s="44" t="e">
        <f t="shared" ca="1" si="47"/>
        <v>#N/A</v>
      </c>
      <c r="S140" s="37" t="e">
        <f ca="1">IF(P140="","",IF(P140="Total",SUM($S$19:S139),VLOOKUP($P140,$B$12:$L194,11,FALSE)))</f>
        <v>#N/A</v>
      </c>
      <c r="T140" s="44" t="e">
        <f ca="1">IF(payfreq="Annually",IF(P140="","",IF(P140="Total",SUM($T$19:T139),Adj_Rate*$R140)),IF(payfreq="Semiannually",IF(P140="","",IF(P140="Total",SUM($T$19:T139),Adj_Rate/2*$R140)),IF(payfreq="Quarterly",IF(P140="","",IF(P140="Total",SUM($T$19:T139),Adj_Rate/4*$R140)),IF(payfreq="Monthly",IF(P140="","",IF(P140="Total",SUM($T$19:T139),Adj_Rate/12*$R140)),""))))</f>
        <v>#N/A</v>
      </c>
      <c r="U140" s="37" t="e">
        <f t="shared" ca="1" si="48"/>
        <v>#N/A</v>
      </c>
      <c r="V140" s="44" t="e">
        <f t="shared" ca="1" si="49"/>
        <v>#N/A</v>
      </c>
    </row>
    <row r="141" spans="2:22">
      <c r="B141" s="38">
        <v>122</v>
      </c>
      <c r="C141" s="77" t="e">
        <f t="shared" ca="1" si="50"/>
        <v>#N/A</v>
      </c>
      <c r="D141" s="78" t="e">
        <f ca="1">+IF(AND(B141&lt;$G$7),VLOOKUP($B$1,Inventory!$A$1:$BC$500,35,FALSE),IF(AND(B141=$G$7,pmt_timing="End"),VLOOKUP($B$1,Inventory!$A$1:$BC$500,35,FALSE),0))</f>
        <v>#N/A</v>
      </c>
      <c r="E141" s="78">
        <v>0</v>
      </c>
      <c r="F141" s="78">
        <v>0</v>
      </c>
      <c r="G141" s="78">
        <v>0</v>
      </c>
      <c r="H141" s="78">
        <v>0</v>
      </c>
      <c r="I141" s="78">
        <v>0</v>
      </c>
      <c r="J141" s="78">
        <v>0</v>
      </c>
      <c r="K141" s="78">
        <v>0</v>
      </c>
      <c r="L141" s="36" t="e">
        <f t="shared" ca="1" si="45"/>
        <v>#N/A</v>
      </c>
      <c r="M141" s="37" t="e">
        <f t="shared" ca="1" si="43"/>
        <v>#N/A</v>
      </c>
      <c r="N141" s="37" t="e">
        <f t="shared" ca="1" si="44"/>
        <v>#N/A</v>
      </c>
      <c r="P141" s="35" t="e">
        <f t="shared" ca="1" si="51"/>
        <v>#N/A</v>
      </c>
      <c r="Q141" s="59" t="e">
        <f t="shared" ca="1" si="46"/>
        <v>#N/A</v>
      </c>
      <c r="R141" s="44" t="e">
        <f t="shared" ca="1" si="47"/>
        <v>#N/A</v>
      </c>
      <c r="S141" s="37" t="e">
        <f ca="1">IF(P141="","",IF(P141="Total",SUM($S$19:S140),VLOOKUP($P141,$B$12:$L195,11,FALSE)))</f>
        <v>#N/A</v>
      </c>
      <c r="T141" s="44" t="e">
        <f ca="1">IF(payfreq="Annually",IF(P141="","",IF(P141="Total",SUM($T$19:T140),Adj_Rate*$R141)),IF(payfreq="Semiannually",IF(P141="","",IF(P141="Total",SUM($T$19:T140),Adj_Rate/2*$R141)),IF(payfreq="Quarterly",IF(P141="","",IF(P141="Total",SUM($T$19:T140),Adj_Rate/4*$R141)),IF(payfreq="Monthly",IF(P141="","",IF(P141="Total",SUM($T$19:T140),Adj_Rate/12*$R141)),""))))</f>
        <v>#N/A</v>
      </c>
      <c r="U141" s="37" t="e">
        <f t="shared" ca="1" si="48"/>
        <v>#N/A</v>
      </c>
      <c r="V141" s="44" t="e">
        <f t="shared" ca="1" si="49"/>
        <v>#N/A</v>
      </c>
    </row>
    <row r="142" spans="2:22">
      <c r="B142" s="38">
        <v>123</v>
      </c>
      <c r="C142" s="77" t="e">
        <f t="shared" ca="1" si="50"/>
        <v>#N/A</v>
      </c>
      <c r="D142" s="78" t="e">
        <f ca="1">+IF(AND(B142&lt;$G$7),VLOOKUP($B$1,Inventory!$A$1:$BC$500,35,FALSE),IF(AND(B142=$G$7,pmt_timing="End"),VLOOKUP($B$1,Inventory!$A$1:$BC$500,35,FALSE),0))</f>
        <v>#N/A</v>
      </c>
      <c r="E142" s="78">
        <v>0</v>
      </c>
      <c r="F142" s="78">
        <v>0</v>
      </c>
      <c r="G142" s="78">
        <v>0</v>
      </c>
      <c r="H142" s="78">
        <v>0</v>
      </c>
      <c r="I142" s="78">
        <v>0</v>
      </c>
      <c r="J142" s="78">
        <v>0</v>
      </c>
      <c r="K142" s="78">
        <v>0</v>
      </c>
      <c r="L142" s="36" t="e">
        <f t="shared" ca="1" si="45"/>
        <v>#N/A</v>
      </c>
      <c r="M142" s="37" t="e">
        <f t="shared" ca="1" si="43"/>
        <v>#N/A</v>
      </c>
      <c r="N142" s="37" t="e">
        <f t="shared" ca="1" si="44"/>
        <v>#N/A</v>
      </c>
      <c r="P142" s="35" t="e">
        <f t="shared" ca="1" si="51"/>
        <v>#N/A</v>
      </c>
      <c r="Q142" s="59" t="e">
        <f t="shared" ca="1" si="46"/>
        <v>#N/A</v>
      </c>
      <c r="R142" s="44" t="e">
        <f t="shared" ca="1" si="47"/>
        <v>#N/A</v>
      </c>
      <c r="S142" s="37" t="e">
        <f ca="1">IF(P142="","",IF(P142="Total",SUM($S$19:S141),VLOOKUP($P142,$B$12:$L196,11,FALSE)))</f>
        <v>#N/A</v>
      </c>
      <c r="T142" s="44" t="e">
        <f ca="1">IF(payfreq="Annually",IF(P142="","",IF(P142="Total",SUM($T$19:T141),Adj_Rate*$R142)),IF(payfreq="Semiannually",IF(P142="","",IF(P142="Total",SUM($T$19:T141),Adj_Rate/2*$R142)),IF(payfreq="Quarterly",IF(P142="","",IF(P142="Total",SUM($T$19:T141),Adj_Rate/4*$R142)),IF(payfreq="Monthly",IF(P142="","",IF(P142="Total",SUM($T$19:T141),Adj_Rate/12*$R142)),""))))</f>
        <v>#N/A</v>
      </c>
      <c r="U142" s="37" t="e">
        <f t="shared" ca="1" si="48"/>
        <v>#N/A</v>
      </c>
      <c r="V142" s="44" t="e">
        <f t="shared" ca="1" si="49"/>
        <v>#N/A</v>
      </c>
    </row>
    <row r="143" spans="2:22">
      <c r="B143" s="38">
        <v>124</v>
      </c>
      <c r="C143" s="77" t="e">
        <f t="shared" ca="1" si="50"/>
        <v>#N/A</v>
      </c>
      <c r="D143" s="78" t="e">
        <f ca="1">+IF(AND(B143&lt;$G$7),VLOOKUP($B$1,Inventory!$A$1:$BC$500,35,FALSE),IF(AND(B143=$G$7,pmt_timing="End"),VLOOKUP($B$1,Inventory!$A$1:$BC$500,35,FALSE),0))</f>
        <v>#N/A</v>
      </c>
      <c r="E143" s="78">
        <v>0</v>
      </c>
      <c r="F143" s="78">
        <v>0</v>
      </c>
      <c r="G143" s="78">
        <v>0</v>
      </c>
      <c r="H143" s="78">
        <v>0</v>
      </c>
      <c r="I143" s="78">
        <v>0</v>
      </c>
      <c r="J143" s="78">
        <v>0</v>
      </c>
      <c r="K143" s="78">
        <v>0</v>
      </c>
      <c r="L143" s="36" t="e">
        <f t="shared" ca="1" si="45"/>
        <v>#N/A</v>
      </c>
      <c r="M143" s="37" t="e">
        <f t="shared" ca="1" si="43"/>
        <v>#N/A</v>
      </c>
      <c r="N143" s="37" t="e">
        <f t="shared" ca="1" si="44"/>
        <v>#N/A</v>
      </c>
      <c r="P143" s="35" t="e">
        <f t="shared" ca="1" si="51"/>
        <v>#N/A</v>
      </c>
      <c r="Q143" s="59" t="e">
        <f t="shared" ca="1" si="46"/>
        <v>#N/A</v>
      </c>
      <c r="R143" s="44" t="e">
        <f t="shared" ca="1" si="47"/>
        <v>#N/A</v>
      </c>
      <c r="S143" s="37" t="e">
        <f ca="1">IF(P143="","",IF(P143="Total",SUM($S$19:S142),VLOOKUP($P143,$B$12:$L197,11,FALSE)))</f>
        <v>#N/A</v>
      </c>
      <c r="T143" s="44" t="e">
        <f ca="1">IF(payfreq="Annually",IF(P143="","",IF(P143="Total",SUM($T$19:T142),Adj_Rate*$R143)),IF(payfreq="Semiannually",IF(P143="","",IF(P143="Total",SUM($T$19:T142),Adj_Rate/2*$R143)),IF(payfreq="Quarterly",IF(P143="","",IF(P143="Total",SUM($T$19:T142),Adj_Rate/4*$R143)),IF(payfreq="Monthly",IF(P143="","",IF(P143="Total",SUM($T$19:T142),Adj_Rate/12*$R143)),""))))</f>
        <v>#N/A</v>
      </c>
      <c r="U143" s="37" t="e">
        <f t="shared" ca="1" si="48"/>
        <v>#N/A</v>
      </c>
      <c r="V143" s="44" t="e">
        <f t="shared" ca="1" si="49"/>
        <v>#N/A</v>
      </c>
    </row>
    <row r="144" spans="2:22">
      <c r="B144" s="38">
        <v>125</v>
      </c>
      <c r="C144" s="77" t="e">
        <f t="shared" ca="1" si="50"/>
        <v>#N/A</v>
      </c>
      <c r="D144" s="78" t="e">
        <f ca="1">+IF(AND(B144&lt;$G$7),VLOOKUP($B$1,Inventory!$A$1:$BC$500,35,FALSE),IF(AND(B144=$G$7,pmt_timing="End"),VLOOKUP($B$1,Inventory!$A$1:$BC$500,35,FALSE),0))</f>
        <v>#N/A</v>
      </c>
      <c r="E144" s="78">
        <v>0</v>
      </c>
      <c r="F144" s="78">
        <v>0</v>
      </c>
      <c r="G144" s="78">
        <v>0</v>
      </c>
      <c r="H144" s="78">
        <v>0</v>
      </c>
      <c r="I144" s="78">
        <v>0</v>
      </c>
      <c r="J144" s="78">
        <v>0</v>
      </c>
      <c r="K144" s="78">
        <v>0</v>
      </c>
      <c r="L144" s="36" t="e">
        <f t="shared" ca="1" si="45"/>
        <v>#N/A</v>
      </c>
      <c r="M144" s="37" t="e">
        <f t="shared" ca="1" si="43"/>
        <v>#N/A</v>
      </c>
      <c r="N144" s="37" t="e">
        <f t="shared" ca="1" si="44"/>
        <v>#N/A</v>
      </c>
      <c r="P144" s="35" t="e">
        <f t="shared" ca="1" si="51"/>
        <v>#N/A</v>
      </c>
      <c r="Q144" s="59" t="e">
        <f t="shared" ca="1" si="46"/>
        <v>#N/A</v>
      </c>
      <c r="R144" s="44" t="e">
        <f t="shared" ca="1" si="47"/>
        <v>#N/A</v>
      </c>
      <c r="S144" s="37" t="e">
        <f ca="1">IF(P144="","",IF(P144="Total",SUM($S$19:S143),VLOOKUP($P144,$B$12:$L198,11,FALSE)))</f>
        <v>#N/A</v>
      </c>
      <c r="T144" s="44" t="e">
        <f ca="1">IF(payfreq="Annually",IF(P144="","",IF(P144="Total",SUM($T$19:T143),Adj_Rate*$R144)),IF(payfreq="Semiannually",IF(P144="","",IF(P144="Total",SUM($T$19:T143),Adj_Rate/2*$R144)),IF(payfreq="Quarterly",IF(P144="","",IF(P144="Total",SUM($T$19:T143),Adj_Rate/4*$R144)),IF(payfreq="Monthly",IF(P144="","",IF(P144="Total",SUM($T$19:T143),Adj_Rate/12*$R144)),""))))</f>
        <v>#N/A</v>
      </c>
      <c r="U144" s="37" t="e">
        <f t="shared" ca="1" si="48"/>
        <v>#N/A</v>
      </c>
      <c r="V144" s="44" t="e">
        <f t="shared" ca="1" si="49"/>
        <v>#N/A</v>
      </c>
    </row>
    <row r="145" spans="2:22">
      <c r="B145" s="38">
        <v>126</v>
      </c>
      <c r="C145" s="77" t="e">
        <f t="shared" ca="1" si="50"/>
        <v>#N/A</v>
      </c>
      <c r="D145" s="78" t="e">
        <f ca="1">+IF(AND(B145&lt;$G$7),VLOOKUP($B$1,Inventory!$A$1:$BC$500,35,FALSE),IF(AND(B145=$G$7,pmt_timing="End"),VLOOKUP($B$1,Inventory!$A$1:$BC$500,35,FALSE),0))</f>
        <v>#N/A</v>
      </c>
      <c r="E145" s="78">
        <v>0</v>
      </c>
      <c r="F145" s="78">
        <v>0</v>
      </c>
      <c r="G145" s="78">
        <v>0</v>
      </c>
      <c r="H145" s="78">
        <v>0</v>
      </c>
      <c r="I145" s="78">
        <v>0</v>
      </c>
      <c r="J145" s="78">
        <v>0</v>
      </c>
      <c r="K145" s="78">
        <v>0</v>
      </c>
      <c r="L145" s="36" t="e">
        <f t="shared" ca="1" si="45"/>
        <v>#N/A</v>
      </c>
      <c r="M145" s="37" t="e">
        <f t="shared" ca="1" si="43"/>
        <v>#N/A</v>
      </c>
      <c r="N145" s="37" t="e">
        <f t="shared" ca="1" si="44"/>
        <v>#N/A</v>
      </c>
      <c r="P145" s="35" t="e">
        <f t="shared" ca="1" si="51"/>
        <v>#N/A</v>
      </c>
      <c r="Q145" s="59" t="e">
        <f t="shared" ca="1" si="46"/>
        <v>#N/A</v>
      </c>
      <c r="R145" s="44" t="e">
        <f t="shared" ca="1" si="47"/>
        <v>#N/A</v>
      </c>
      <c r="S145" s="37" t="e">
        <f ca="1">IF(P145="","",IF(P145="Total",SUM($S$19:S144),VLOOKUP($P145,$B$12:$L199,11,FALSE)))</f>
        <v>#N/A</v>
      </c>
      <c r="T145" s="44" t="e">
        <f ca="1">IF(payfreq="Annually",IF(P145="","",IF(P145="Total",SUM($T$19:T144),Adj_Rate*$R145)),IF(payfreq="Semiannually",IF(P145="","",IF(P145="Total",SUM($T$19:T144),Adj_Rate/2*$R145)),IF(payfreq="Quarterly",IF(P145="","",IF(P145="Total",SUM($T$19:T144),Adj_Rate/4*$R145)),IF(payfreq="Monthly",IF(P145="","",IF(P145="Total",SUM($T$19:T144),Adj_Rate/12*$R145)),""))))</f>
        <v>#N/A</v>
      </c>
      <c r="U145" s="37" t="e">
        <f t="shared" ca="1" si="48"/>
        <v>#N/A</v>
      </c>
      <c r="V145" s="44" t="e">
        <f t="shared" ca="1" si="49"/>
        <v>#N/A</v>
      </c>
    </row>
    <row r="146" spans="2:22">
      <c r="B146" s="38">
        <v>127</v>
      </c>
      <c r="C146" s="77" t="e">
        <f t="shared" ca="1" si="50"/>
        <v>#N/A</v>
      </c>
      <c r="D146" s="78" t="e">
        <f ca="1">+IF(AND(B146&lt;$G$7),VLOOKUP($B$1,Inventory!$A$1:$BC$500,35,FALSE),IF(AND(B146=$G$7,pmt_timing="End"),VLOOKUP($B$1,Inventory!$A$1:$BC$500,35,FALSE),0))</f>
        <v>#N/A</v>
      </c>
      <c r="E146" s="78">
        <v>0</v>
      </c>
      <c r="F146" s="78">
        <v>0</v>
      </c>
      <c r="G146" s="78">
        <v>0</v>
      </c>
      <c r="H146" s="78">
        <v>0</v>
      </c>
      <c r="I146" s="78">
        <v>0</v>
      </c>
      <c r="J146" s="78">
        <v>0</v>
      </c>
      <c r="K146" s="78">
        <v>0</v>
      </c>
      <c r="L146" s="36" t="e">
        <f t="shared" ca="1" si="45"/>
        <v>#N/A</v>
      </c>
      <c r="M146" s="37" t="e">
        <f t="shared" ca="1" si="43"/>
        <v>#N/A</v>
      </c>
      <c r="N146" s="37" t="e">
        <f t="shared" ca="1" si="44"/>
        <v>#N/A</v>
      </c>
      <c r="P146" s="35" t="e">
        <f t="shared" ca="1" si="51"/>
        <v>#N/A</v>
      </c>
      <c r="Q146" s="59" t="e">
        <f t="shared" ca="1" si="46"/>
        <v>#N/A</v>
      </c>
      <c r="R146" s="44" t="e">
        <f t="shared" ca="1" si="47"/>
        <v>#N/A</v>
      </c>
      <c r="S146" s="37" t="e">
        <f ca="1">IF(P146="","",IF(P146="Total",SUM($S$19:S145),VLOOKUP($P146,$B$12:$L200,11,FALSE)))</f>
        <v>#N/A</v>
      </c>
      <c r="T146" s="44" t="e">
        <f ca="1">IF(payfreq="Annually",IF(P146="","",IF(P146="Total",SUM($T$19:T145),Adj_Rate*$R146)),IF(payfreq="Semiannually",IF(P146="","",IF(P146="Total",SUM($T$19:T145),Adj_Rate/2*$R146)),IF(payfreq="Quarterly",IF(P146="","",IF(P146="Total",SUM($T$19:T145),Adj_Rate/4*$R146)),IF(payfreq="Monthly",IF(P146="","",IF(P146="Total",SUM($T$19:T145),Adj_Rate/12*$R146)),""))))</f>
        <v>#N/A</v>
      </c>
      <c r="U146" s="37" t="e">
        <f t="shared" ca="1" si="48"/>
        <v>#N/A</v>
      </c>
      <c r="V146" s="44" t="e">
        <f t="shared" ca="1" si="49"/>
        <v>#N/A</v>
      </c>
    </row>
    <row r="147" spans="2:22">
      <c r="B147" s="38">
        <v>128</v>
      </c>
      <c r="C147" s="77" t="e">
        <f t="shared" ca="1" si="50"/>
        <v>#N/A</v>
      </c>
      <c r="D147" s="78" t="e">
        <f ca="1">+IF(AND(B147&lt;$G$7),VLOOKUP($B$1,Inventory!$A$1:$BC$500,35,FALSE),IF(AND(B147=$G$7,pmt_timing="End"),VLOOKUP($B$1,Inventory!$A$1:$BC$500,35,FALSE),0))</f>
        <v>#N/A</v>
      </c>
      <c r="E147" s="78">
        <v>0</v>
      </c>
      <c r="F147" s="78">
        <v>0</v>
      </c>
      <c r="G147" s="78">
        <v>0</v>
      </c>
      <c r="H147" s="78">
        <v>0</v>
      </c>
      <c r="I147" s="78">
        <v>0</v>
      </c>
      <c r="J147" s="78">
        <v>0</v>
      </c>
      <c r="K147" s="78">
        <v>0</v>
      </c>
      <c r="L147" s="36" t="e">
        <f t="shared" ca="1" si="45"/>
        <v>#N/A</v>
      </c>
      <c r="M147" s="37" t="e">
        <f t="shared" ref="M147:M210" ca="1" si="52">IF(AND(payfreq="Annually",pmt_timing="End",$B147&lt;=term),$L147/(1+Adj_Rate)^($B147),IF(AND(payfreq="Semiannually",pmt_timing="End",$B147&lt;=term),$L147/(1+Adj_Rate/2)^($B147),IF(AND(payfreq="Quarterly",pmt_timing="End",$B147&lt;=term),$L147/(1+Adj_Rate/4)^($B147),IF(AND(payfreq="Monthly",pmt_timing="End",$B147&lt;=term),$L147/(1+Adj_Rate/12)^($B147),""))))</f>
        <v>#N/A</v>
      </c>
      <c r="N147" s="37" t="e">
        <f t="shared" ref="N147:N210" ca="1" si="53">IF(AND(payfreq="Annually",pmt_timing="Beginning",$B147&lt;=term),$L147/(1+Adj_Rate)^($B147),IF(AND(payfreq="Semiannually",pmt_timing="Beginning",$B147&lt;=term),$L147/(1+Adj_Rate/2)^($B147),IF(AND(payfreq="Quarterly",pmt_timing="Beginning",$B147&lt;=term),$L147/(1+Adj_Rate/4)^($B147),IF(AND(payfreq="Monthly",pmt_timing="Beginning",$B147&lt;=term),$L147/(1+Adj_Rate/12)^($B147),""))))</f>
        <v>#N/A</v>
      </c>
      <c r="P147" s="35" t="e">
        <f t="shared" ca="1" si="51"/>
        <v>#N/A</v>
      </c>
      <c r="Q147" s="59" t="e">
        <f t="shared" ca="1" si="46"/>
        <v>#N/A</v>
      </c>
      <c r="R147" s="44" t="e">
        <f t="shared" ca="1" si="47"/>
        <v>#N/A</v>
      </c>
      <c r="S147" s="37" t="e">
        <f ca="1">IF(P147="","",IF(P147="Total",SUM($S$19:S146),VLOOKUP($P147,$B$12:$L201,11,FALSE)))</f>
        <v>#N/A</v>
      </c>
      <c r="T147" s="44" t="e">
        <f ca="1">IF(payfreq="Annually",IF(P147="","",IF(P147="Total",SUM($T$19:T146),Adj_Rate*$R147)),IF(payfreq="Semiannually",IF(P147="","",IF(P147="Total",SUM($T$19:T146),Adj_Rate/2*$R147)),IF(payfreq="Quarterly",IF(P147="","",IF(P147="Total",SUM($T$19:T146),Adj_Rate/4*$R147)),IF(payfreq="Monthly",IF(P147="","",IF(P147="Total",SUM($T$19:T146),Adj_Rate/12*$R147)),""))))</f>
        <v>#N/A</v>
      </c>
      <c r="U147" s="37" t="e">
        <f t="shared" ca="1" si="48"/>
        <v>#N/A</v>
      </c>
      <c r="V147" s="44" t="e">
        <f t="shared" ca="1" si="49"/>
        <v>#N/A</v>
      </c>
    </row>
    <row r="148" spans="2:22">
      <c r="B148" s="38">
        <v>129</v>
      </c>
      <c r="C148" s="77" t="e">
        <f t="shared" ca="1" si="50"/>
        <v>#N/A</v>
      </c>
      <c r="D148" s="78" t="e">
        <f ca="1">+IF(AND(B148&lt;$G$7),VLOOKUP($B$1,Inventory!$A$1:$BC$500,35,FALSE),IF(AND(B148=$G$7,pmt_timing="End"),VLOOKUP($B$1,Inventory!$A$1:$BC$500,35,FALSE),0))</f>
        <v>#N/A</v>
      </c>
      <c r="E148" s="78">
        <v>0</v>
      </c>
      <c r="F148" s="78">
        <v>0</v>
      </c>
      <c r="G148" s="78">
        <v>0</v>
      </c>
      <c r="H148" s="78">
        <v>0</v>
      </c>
      <c r="I148" s="78">
        <v>0</v>
      </c>
      <c r="J148" s="78">
        <v>0</v>
      </c>
      <c r="K148" s="78">
        <v>0</v>
      </c>
      <c r="L148" s="36" t="e">
        <f t="shared" ref="L148:L211" ca="1" si="54">SUM(D148:K148)</f>
        <v>#N/A</v>
      </c>
      <c r="M148" s="37" t="e">
        <f t="shared" ca="1" si="52"/>
        <v>#N/A</v>
      </c>
      <c r="N148" s="37" t="e">
        <f t="shared" ca="1" si="53"/>
        <v>#N/A</v>
      </c>
      <c r="P148" s="35" t="e">
        <f t="shared" ca="1" si="51"/>
        <v>#N/A</v>
      </c>
      <c r="Q148" s="59" t="e">
        <f t="shared" ref="Q148:Q211" ca="1" si="55">IF(P148="","",IF(P148="total","",IF(payfreq="Annually",DATE(YEAR(Q147)+1,MONTH(Q147),DAY(Q147)),IF(payfreq="Semiannually",DATE(YEAR(Q147),MONTH(Q147)+6,DAY(Q147)),IF(payfreq="Quarterly",DATE(YEAR(Q147),MONTH(Q147)+3,DAY(Q147)),IF(payfreq="Monthly",DATE(YEAR(Q147),MONTH(Q147)+1,DAY(Q147))))))))</f>
        <v>#N/A</v>
      </c>
      <c r="R148" s="44" t="e">
        <f t="shared" ref="R148:R211" ca="1" si="56">IF(OR(P148="",P148="Total"),"",V147)</f>
        <v>#N/A</v>
      </c>
      <c r="S148" s="37" t="e">
        <f ca="1">IF(P148="","",IF(P148="Total",SUM($S$19:S147),VLOOKUP($P148,$B$12:$L202,11,FALSE)))</f>
        <v>#N/A</v>
      </c>
      <c r="T148" s="44" t="e">
        <f ca="1">IF(payfreq="Annually",IF(P148="","",IF(P148="Total",SUM($T$19:T147),Adj_Rate*$R148)),IF(payfreq="Semiannually",IF(P148="","",IF(P148="Total",SUM($T$19:T147),Adj_Rate/2*$R148)),IF(payfreq="Quarterly",IF(P148="","",IF(P148="Total",SUM($T$19:T147),Adj_Rate/4*$R148)),IF(payfreq="Monthly",IF(P148="","",IF(P148="Total",SUM($T$19:T147),Adj_Rate/12*$R148)),""))))</f>
        <v>#N/A</v>
      </c>
      <c r="U148" s="37" t="e">
        <f t="shared" ref="U148:U211" ca="1" si="57">+IF(S148="","",S148-T148)</f>
        <v>#N/A</v>
      </c>
      <c r="V148" s="44" t="e">
        <f t="shared" ref="V148:V211" ca="1" si="58">IF(OR(P148="",P148="Total"),"",R148+T148-S148)</f>
        <v>#N/A</v>
      </c>
    </row>
    <row r="149" spans="2:22">
      <c r="B149" s="38">
        <v>130</v>
      </c>
      <c r="C149" s="77" t="e">
        <f t="shared" ref="C149:C212" ca="1" si="59">IF(Q149 &lt;&gt; "",Q149, "")</f>
        <v>#N/A</v>
      </c>
      <c r="D149" s="78" t="e">
        <f ca="1">+IF(AND(B149&lt;$G$7),VLOOKUP($B$1,Inventory!$A$1:$BC$500,35,FALSE),IF(AND(B149=$G$7,pmt_timing="End"),VLOOKUP($B$1,Inventory!$A$1:$BC$500,35,FALSE),0))</f>
        <v>#N/A</v>
      </c>
      <c r="E149" s="78">
        <v>0</v>
      </c>
      <c r="F149" s="78">
        <v>0</v>
      </c>
      <c r="G149" s="78">
        <v>0</v>
      </c>
      <c r="H149" s="78">
        <v>0</v>
      </c>
      <c r="I149" s="78">
        <v>0</v>
      </c>
      <c r="J149" s="78">
        <v>0</v>
      </c>
      <c r="K149" s="78">
        <v>0</v>
      </c>
      <c r="L149" s="36" t="e">
        <f t="shared" ca="1" si="54"/>
        <v>#N/A</v>
      </c>
      <c r="M149" s="37" t="e">
        <f t="shared" ca="1" si="52"/>
        <v>#N/A</v>
      </c>
      <c r="N149" s="37" t="e">
        <f t="shared" ca="1" si="53"/>
        <v>#N/A</v>
      </c>
      <c r="P149" s="35" t="e">
        <f t="shared" ref="P149:P212" ca="1" si="60">IF(P148&lt;term,P148+1,IF(P148=term,"Total",""))</f>
        <v>#N/A</v>
      </c>
      <c r="Q149" s="59" t="e">
        <f t="shared" ca="1" si="55"/>
        <v>#N/A</v>
      </c>
      <c r="R149" s="44" t="e">
        <f t="shared" ca="1" si="56"/>
        <v>#N/A</v>
      </c>
      <c r="S149" s="37" t="e">
        <f ca="1">IF(P149="","",IF(P149="Total",SUM($S$19:S148),VLOOKUP($P149,$B$12:$L203,11,FALSE)))</f>
        <v>#N/A</v>
      </c>
      <c r="T149" s="44" t="e">
        <f ca="1">IF(payfreq="Annually",IF(P149="","",IF(P149="Total",SUM($T$19:T148),Adj_Rate*$R149)),IF(payfreq="Semiannually",IF(P149="","",IF(P149="Total",SUM($T$19:T148),Adj_Rate/2*$R149)),IF(payfreq="Quarterly",IF(P149="","",IF(P149="Total",SUM($T$19:T148),Adj_Rate/4*$R149)),IF(payfreq="Monthly",IF(P149="","",IF(P149="Total",SUM($T$19:T148),Adj_Rate/12*$R149)),""))))</f>
        <v>#N/A</v>
      </c>
      <c r="U149" s="37" t="e">
        <f t="shared" ca="1" si="57"/>
        <v>#N/A</v>
      </c>
      <c r="V149" s="44" t="e">
        <f t="shared" ca="1" si="58"/>
        <v>#N/A</v>
      </c>
    </row>
    <row r="150" spans="2:22">
      <c r="B150" s="38">
        <v>131</v>
      </c>
      <c r="C150" s="77" t="e">
        <f t="shared" ca="1" si="59"/>
        <v>#N/A</v>
      </c>
      <c r="D150" s="78" t="e">
        <f ca="1">+IF(AND(B150&lt;$G$7),VLOOKUP($B$1,Inventory!$A$1:$BC$500,35,FALSE),IF(AND(B150=$G$7,pmt_timing="End"),VLOOKUP($B$1,Inventory!$A$1:$BC$500,35,FALSE),0))</f>
        <v>#N/A</v>
      </c>
      <c r="E150" s="78">
        <v>0</v>
      </c>
      <c r="F150" s="78">
        <v>0</v>
      </c>
      <c r="G150" s="78">
        <v>0</v>
      </c>
      <c r="H150" s="78">
        <v>0</v>
      </c>
      <c r="I150" s="78">
        <v>0</v>
      </c>
      <c r="J150" s="78">
        <v>0</v>
      </c>
      <c r="K150" s="78">
        <v>0</v>
      </c>
      <c r="L150" s="36" t="e">
        <f t="shared" ca="1" si="54"/>
        <v>#N/A</v>
      </c>
      <c r="M150" s="37" t="e">
        <f t="shared" ca="1" si="52"/>
        <v>#N/A</v>
      </c>
      <c r="N150" s="37" t="e">
        <f t="shared" ca="1" si="53"/>
        <v>#N/A</v>
      </c>
      <c r="P150" s="35" t="e">
        <f t="shared" ca="1" si="60"/>
        <v>#N/A</v>
      </c>
      <c r="Q150" s="59" t="e">
        <f t="shared" ca="1" si="55"/>
        <v>#N/A</v>
      </c>
      <c r="R150" s="44" t="e">
        <f t="shared" ca="1" si="56"/>
        <v>#N/A</v>
      </c>
      <c r="S150" s="37" t="e">
        <f ca="1">IF(P150="","",IF(P150="Total",SUM($S$19:S149),VLOOKUP($P150,$B$12:$L204,11,FALSE)))</f>
        <v>#N/A</v>
      </c>
      <c r="T150" s="44" t="e">
        <f ca="1">IF(payfreq="Annually",IF(P150="","",IF(P150="Total",SUM($T$19:T149),Adj_Rate*$R150)),IF(payfreq="Semiannually",IF(P150="","",IF(P150="Total",SUM($T$19:T149),Adj_Rate/2*$R150)),IF(payfreq="Quarterly",IF(P150="","",IF(P150="Total",SUM($T$19:T149),Adj_Rate/4*$R150)),IF(payfreq="Monthly",IF(P150="","",IF(P150="Total",SUM($T$19:T149),Adj_Rate/12*$R150)),""))))</f>
        <v>#N/A</v>
      </c>
      <c r="U150" s="37" t="e">
        <f t="shared" ca="1" si="57"/>
        <v>#N/A</v>
      </c>
      <c r="V150" s="44" t="e">
        <f t="shared" ca="1" si="58"/>
        <v>#N/A</v>
      </c>
    </row>
    <row r="151" spans="2:22">
      <c r="B151" s="38">
        <v>132</v>
      </c>
      <c r="C151" s="77" t="e">
        <f t="shared" ca="1" si="59"/>
        <v>#N/A</v>
      </c>
      <c r="D151" s="78" t="e">
        <f ca="1">+IF(AND(B151&lt;$G$7),VLOOKUP($B$1,Inventory!$A$1:$BC$500,35,FALSE),IF(AND(B151=$G$7,pmt_timing="End"),VLOOKUP($B$1,Inventory!$A$1:$BC$500,35,FALSE),0))</f>
        <v>#N/A</v>
      </c>
      <c r="E151" s="78">
        <v>0</v>
      </c>
      <c r="F151" s="78">
        <v>0</v>
      </c>
      <c r="G151" s="78">
        <v>0</v>
      </c>
      <c r="H151" s="78">
        <v>0</v>
      </c>
      <c r="I151" s="78">
        <v>0</v>
      </c>
      <c r="J151" s="78">
        <v>0</v>
      </c>
      <c r="K151" s="78">
        <v>0</v>
      </c>
      <c r="L151" s="36" t="e">
        <f t="shared" ca="1" si="54"/>
        <v>#N/A</v>
      </c>
      <c r="M151" s="37" t="e">
        <f t="shared" ca="1" si="52"/>
        <v>#N/A</v>
      </c>
      <c r="N151" s="37" t="e">
        <f t="shared" ca="1" si="53"/>
        <v>#N/A</v>
      </c>
      <c r="P151" s="35" t="e">
        <f t="shared" ca="1" si="60"/>
        <v>#N/A</v>
      </c>
      <c r="Q151" s="59" t="e">
        <f t="shared" ca="1" si="55"/>
        <v>#N/A</v>
      </c>
      <c r="R151" s="44" t="e">
        <f t="shared" ca="1" si="56"/>
        <v>#N/A</v>
      </c>
      <c r="S151" s="37" t="e">
        <f ca="1">IF(P151="","",IF(P151="Total",SUM($S$19:S150),VLOOKUP($P151,$B$12:$L205,11,FALSE)))</f>
        <v>#N/A</v>
      </c>
      <c r="T151" s="44" t="e">
        <f ca="1">IF(payfreq="Annually",IF(P151="","",IF(P151="Total",SUM($T$19:T150),Adj_Rate*$R151)),IF(payfreq="Semiannually",IF(P151="","",IF(P151="Total",SUM($T$19:T150),Adj_Rate/2*$R151)),IF(payfreq="Quarterly",IF(P151="","",IF(P151="Total",SUM($T$19:T150),Adj_Rate/4*$R151)),IF(payfreq="Monthly",IF(P151="","",IF(P151="Total",SUM($T$19:T150),Adj_Rate/12*$R151)),""))))</f>
        <v>#N/A</v>
      </c>
      <c r="U151" s="37" t="e">
        <f t="shared" ca="1" si="57"/>
        <v>#N/A</v>
      </c>
      <c r="V151" s="44" t="e">
        <f t="shared" ca="1" si="58"/>
        <v>#N/A</v>
      </c>
    </row>
    <row r="152" spans="2:22">
      <c r="B152" s="38">
        <v>133</v>
      </c>
      <c r="C152" s="77" t="e">
        <f t="shared" ca="1" si="59"/>
        <v>#N/A</v>
      </c>
      <c r="D152" s="78" t="e">
        <f ca="1">+IF(AND(B152&lt;$G$7),VLOOKUP($B$1,Inventory!$A$1:$BC$500,35,FALSE),IF(AND(B152=$G$7,pmt_timing="End"),VLOOKUP($B$1,Inventory!$A$1:$BC$500,35,FALSE),0))</f>
        <v>#N/A</v>
      </c>
      <c r="E152" s="78">
        <v>0</v>
      </c>
      <c r="F152" s="78">
        <v>0</v>
      </c>
      <c r="G152" s="78">
        <v>0</v>
      </c>
      <c r="H152" s="78">
        <v>0</v>
      </c>
      <c r="I152" s="78">
        <v>0</v>
      </c>
      <c r="J152" s="78">
        <v>0</v>
      </c>
      <c r="K152" s="78">
        <v>0</v>
      </c>
      <c r="L152" s="36" t="e">
        <f t="shared" ca="1" si="54"/>
        <v>#N/A</v>
      </c>
      <c r="M152" s="37" t="e">
        <f t="shared" ca="1" si="52"/>
        <v>#N/A</v>
      </c>
      <c r="N152" s="37" t="e">
        <f t="shared" ca="1" si="53"/>
        <v>#N/A</v>
      </c>
      <c r="P152" s="35" t="e">
        <f t="shared" ca="1" si="60"/>
        <v>#N/A</v>
      </c>
      <c r="Q152" s="59" t="e">
        <f t="shared" ca="1" si="55"/>
        <v>#N/A</v>
      </c>
      <c r="R152" s="44" t="e">
        <f t="shared" ca="1" si="56"/>
        <v>#N/A</v>
      </c>
      <c r="S152" s="37" t="e">
        <f ca="1">IF(P152="","",IF(P152="Total",SUM($S$19:S151),VLOOKUP($P152,$B$12:$L206,11,FALSE)))</f>
        <v>#N/A</v>
      </c>
      <c r="T152" s="44" t="e">
        <f ca="1">IF(payfreq="Annually",IF(P152="","",IF(P152="Total",SUM($T$19:T151),Adj_Rate*$R152)),IF(payfreq="Semiannually",IF(P152="","",IF(P152="Total",SUM($T$19:T151),Adj_Rate/2*$R152)),IF(payfreq="Quarterly",IF(P152="","",IF(P152="Total",SUM($T$19:T151),Adj_Rate/4*$R152)),IF(payfreq="Monthly",IF(P152="","",IF(P152="Total",SUM($T$19:T151),Adj_Rate/12*$R152)),""))))</f>
        <v>#N/A</v>
      </c>
      <c r="U152" s="37" t="e">
        <f t="shared" ca="1" si="57"/>
        <v>#N/A</v>
      </c>
      <c r="V152" s="44" t="e">
        <f t="shared" ca="1" si="58"/>
        <v>#N/A</v>
      </c>
    </row>
    <row r="153" spans="2:22">
      <c r="B153" s="38">
        <v>134</v>
      </c>
      <c r="C153" s="77" t="e">
        <f t="shared" ca="1" si="59"/>
        <v>#N/A</v>
      </c>
      <c r="D153" s="78" t="e">
        <f ca="1">+IF(AND(B153&lt;$G$7),VLOOKUP($B$1,Inventory!$A$1:$BC$500,35,FALSE),IF(AND(B153=$G$7,pmt_timing="End"),VLOOKUP($B$1,Inventory!$A$1:$BC$500,35,FALSE),0))</f>
        <v>#N/A</v>
      </c>
      <c r="E153" s="78">
        <v>0</v>
      </c>
      <c r="F153" s="78">
        <v>0</v>
      </c>
      <c r="G153" s="78">
        <v>0</v>
      </c>
      <c r="H153" s="78">
        <v>0</v>
      </c>
      <c r="I153" s="78">
        <v>0</v>
      </c>
      <c r="J153" s="78">
        <v>0</v>
      </c>
      <c r="K153" s="78">
        <v>0</v>
      </c>
      <c r="L153" s="36" t="e">
        <f t="shared" ca="1" si="54"/>
        <v>#N/A</v>
      </c>
      <c r="M153" s="37" t="e">
        <f t="shared" ca="1" si="52"/>
        <v>#N/A</v>
      </c>
      <c r="N153" s="37" t="e">
        <f t="shared" ca="1" si="53"/>
        <v>#N/A</v>
      </c>
      <c r="P153" s="35" t="e">
        <f t="shared" ca="1" si="60"/>
        <v>#N/A</v>
      </c>
      <c r="Q153" s="59" t="e">
        <f t="shared" ca="1" si="55"/>
        <v>#N/A</v>
      </c>
      <c r="R153" s="44" t="e">
        <f t="shared" ca="1" si="56"/>
        <v>#N/A</v>
      </c>
      <c r="S153" s="37" t="e">
        <f ca="1">IF(P153="","",IF(P153="Total",SUM($S$19:S152),VLOOKUP($P153,$B$12:$L207,11,FALSE)))</f>
        <v>#N/A</v>
      </c>
      <c r="T153" s="44" t="e">
        <f ca="1">IF(payfreq="Annually",IF(P153="","",IF(P153="Total",SUM($T$19:T152),Adj_Rate*$R153)),IF(payfreq="Semiannually",IF(P153="","",IF(P153="Total",SUM($T$19:T152),Adj_Rate/2*$R153)),IF(payfreq="Quarterly",IF(P153="","",IF(P153="Total",SUM($T$19:T152),Adj_Rate/4*$R153)),IF(payfreq="Monthly",IF(P153="","",IF(P153="Total",SUM($T$19:T152),Adj_Rate/12*$R153)),""))))</f>
        <v>#N/A</v>
      </c>
      <c r="U153" s="37" t="e">
        <f t="shared" ca="1" si="57"/>
        <v>#N/A</v>
      </c>
      <c r="V153" s="44" t="e">
        <f t="shared" ca="1" si="58"/>
        <v>#N/A</v>
      </c>
    </row>
    <row r="154" spans="2:22">
      <c r="B154" s="38">
        <v>135</v>
      </c>
      <c r="C154" s="77" t="e">
        <f t="shared" ca="1" si="59"/>
        <v>#N/A</v>
      </c>
      <c r="D154" s="78" t="e">
        <f ca="1">+IF(AND(B154&lt;$G$7),VLOOKUP($B$1,Inventory!$A$1:$BC$500,35,FALSE),IF(AND(B154=$G$7,pmt_timing="End"),VLOOKUP($B$1,Inventory!$A$1:$BC$500,35,FALSE),0))</f>
        <v>#N/A</v>
      </c>
      <c r="E154" s="78">
        <v>0</v>
      </c>
      <c r="F154" s="78">
        <v>0</v>
      </c>
      <c r="G154" s="78">
        <v>0</v>
      </c>
      <c r="H154" s="78">
        <v>0</v>
      </c>
      <c r="I154" s="78">
        <v>0</v>
      </c>
      <c r="J154" s="78">
        <v>0</v>
      </c>
      <c r="K154" s="78">
        <v>0</v>
      </c>
      <c r="L154" s="36" t="e">
        <f t="shared" ca="1" si="54"/>
        <v>#N/A</v>
      </c>
      <c r="M154" s="37" t="e">
        <f t="shared" ca="1" si="52"/>
        <v>#N/A</v>
      </c>
      <c r="N154" s="37" t="e">
        <f t="shared" ca="1" si="53"/>
        <v>#N/A</v>
      </c>
      <c r="P154" s="35" t="e">
        <f t="shared" ca="1" si="60"/>
        <v>#N/A</v>
      </c>
      <c r="Q154" s="59" t="e">
        <f t="shared" ca="1" si="55"/>
        <v>#N/A</v>
      </c>
      <c r="R154" s="44" t="e">
        <f t="shared" ca="1" si="56"/>
        <v>#N/A</v>
      </c>
      <c r="S154" s="37" t="e">
        <f ca="1">IF(P154="","",IF(P154="Total",SUM($S$19:S153),VLOOKUP($P154,$B$12:$L208,11,FALSE)))</f>
        <v>#N/A</v>
      </c>
      <c r="T154" s="44" t="e">
        <f ca="1">IF(payfreq="Annually",IF(P154="","",IF(P154="Total",SUM($T$19:T153),Adj_Rate*$R154)),IF(payfreq="Semiannually",IF(P154="","",IF(P154="Total",SUM($T$19:T153),Adj_Rate/2*$R154)),IF(payfreq="Quarterly",IF(P154="","",IF(P154="Total",SUM($T$19:T153),Adj_Rate/4*$R154)),IF(payfreq="Monthly",IF(P154="","",IF(P154="Total",SUM($T$19:T153),Adj_Rate/12*$R154)),""))))</f>
        <v>#N/A</v>
      </c>
      <c r="U154" s="37" t="e">
        <f t="shared" ca="1" si="57"/>
        <v>#N/A</v>
      </c>
      <c r="V154" s="44" t="e">
        <f t="shared" ca="1" si="58"/>
        <v>#N/A</v>
      </c>
    </row>
    <row r="155" spans="2:22">
      <c r="B155" s="38">
        <v>136</v>
      </c>
      <c r="C155" s="77" t="e">
        <f t="shared" ca="1" si="59"/>
        <v>#N/A</v>
      </c>
      <c r="D155" s="78" t="e">
        <f ca="1">+IF(AND(B155&lt;$G$7),VLOOKUP($B$1,Inventory!$A$1:$BC$500,35,FALSE),IF(AND(B155=$G$7,pmt_timing="End"),VLOOKUP($B$1,Inventory!$A$1:$BC$500,35,FALSE),0))</f>
        <v>#N/A</v>
      </c>
      <c r="E155" s="78">
        <v>0</v>
      </c>
      <c r="F155" s="78">
        <v>0</v>
      </c>
      <c r="G155" s="78">
        <v>0</v>
      </c>
      <c r="H155" s="78">
        <v>0</v>
      </c>
      <c r="I155" s="78">
        <v>0</v>
      </c>
      <c r="J155" s="78">
        <v>0</v>
      </c>
      <c r="K155" s="78">
        <v>0</v>
      </c>
      <c r="L155" s="36" t="e">
        <f t="shared" ca="1" si="54"/>
        <v>#N/A</v>
      </c>
      <c r="M155" s="37" t="e">
        <f t="shared" ca="1" si="52"/>
        <v>#N/A</v>
      </c>
      <c r="N155" s="37" t="e">
        <f t="shared" ca="1" si="53"/>
        <v>#N/A</v>
      </c>
      <c r="P155" s="35" t="e">
        <f t="shared" ca="1" si="60"/>
        <v>#N/A</v>
      </c>
      <c r="Q155" s="59" t="e">
        <f t="shared" ca="1" si="55"/>
        <v>#N/A</v>
      </c>
      <c r="R155" s="44" t="e">
        <f t="shared" ca="1" si="56"/>
        <v>#N/A</v>
      </c>
      <c r="S155" s="37" t="e">
        <f ca="1">IF(P155="","",IF(P155="Total",SUM($S$19:S154),VLOOKUP($P155,$B$12:$L209,11,FALSE)))</f>
        <v>#N/A</v>
      </c>
      <c r="T155" s="44" t="e">
        <f ca="1">IF(payfreq="Annually",IF(P155="","",IF(P155="Total",SUM($T$19:T154),Adj_Rate*$R155)),IF(payfreq="Semiannually",IF(P155="","",IF(P155="Total",SUM($T$19:T154),Adj_Rate/2*$R155)),IF(payfreq="Quarterly",IF(P155="","",IF(P155="Total",SUM($T$19:T154),Adj_Rate/4*$R155)),IF(payfreq="Monthly",IF(P155="","",IF(P155="Total",SUM($T$19:T154),Adj_Rate/12*$R155)),""))))</f>
        <v>#N/A</v>
      </c>
      <c r="U155" s="37" t="e">
        <f t="shared" ca="1" si="57"/>
        <v>#N/A</v>
      </c>
      <c r="V155" s="44" t="e">
        <f t="shared" ca="1" si="58"/>
        <v>#N/A</v>
      </c>
    </row>
    <row r="156" spans="2:22">
      <c r="B156" s="38">
        <v>137</v>
      </c>
      <c r="C156" s="77" t="e">
        <f t="shared" ca="1" si="59"/>
        <v>#N/A</v>
      </c>
      <c r="D156" s="78" t="e">
        <f ca="1">+IF(AND(B156&lt;$G$7),VLOOKUP($B$1,Inventory!$A$1:$BC$500,35,FALSE),IF(AND(B156=$G$7,pmt_timing="End"),VLOOKUP($B$1,Inventory!$A$1:$BC$500,35,FALSE),0))</f>
        <v>#N/A</v>
      </c>
      <c r="E156" s="78">
        <v>0</v>
      </c>
      <c r="F156" s="78">
        <v>0</v>
      </c>
      <c r="G156" s="78">
        <v>0</v>
      </c>
      <c r="H156" s="78">
        <v>0</v>
      </c>
      <c r="I156" s="78">
        <v>0</v>
      </c>
      <c r="J156" s="78">
        <v>0</v>
      </c>
      <c r="K156" s="78">
        <v>0</v>
      </c>
      <c r="L156" s="36" t="e">
        <f t="shared" ca="1" si="54"/>
        <v>#N/A</v>
      </c>
      <c r="M156" s="37" t="e">
        <f t="shared" ca="1" si="52"/>
        <v>#N/A</v>
      </c>
      <c r="N156" s="37" t="e">
        <f t="shared" ca="1" si="53"/>
        <v>#N/A</v>
      </c>
      <c r="P156" s="35" t="e">
        <f t="shared" ca="1" si="60"/>
        <v>#N/A</v>
      </c>
      <c r="Q156" s="59" t="e">
        <f t="shared" ca="1" si="55"/>
        <v>#N/A</v>
      </c>
      <c r="R156" s="44" t="e">
        <f t="shared" ca="1" si="56"/>
        <v>#N/A</v>
      </c>
      <c r="S156" s="37" t="e">
        <f ca="1">IF(P156="","",IF(P156="Total",SUM($S$19:S155),VLOOKUP($P156,$B$12:$L210,11,FALSE)))</f>
        <v>#N/A</v>
      </c>
      <c r="T156" s="44" t="e">
        <f ca="1">IF(payfreq="Annually",IF(P156="","",IF(P156="Total",SUM($T$19:T155),Adj_Rate*$R156)),IF(payfreq="Semiannually",IF(P156="","",IF(P156="Total",SUM($T$19:T155),Adj_Rate/2*$R156)),IF(payfreq="Quarterly",IF(P156="","",IF(P156="Total",SUM($T$19:T155),Adj_Rate/4*$R156)),IF(payfreq="Monthly",IF(P156="","",IF(P156="Total",SUM($T$19:T155),Adj_Rate/12*$R156)),""))))</f>
        <v>#N/A</v>
      </c>
      <c r="U156" s="37" t="e">
        <f t="shared" ca="1" si="57"/>
        <v>#N/A</v>
      </c>
      <c r="V156" s="44" t="e">
        <f t="shared" ca="1" si="58"/>
        <v>#N/A</v>
      </c>
    </row>
    <row r="157" spans="2:22">
      <c r="B157" s="38">
        <v>138</v>
      </c>
      <c r="C157" s="77" t="e">
        <f t="shared" ca="1" si="59"/>
        <v>#N/A</v>
      </c>
      <c r="D157" s="78" t="e">
        <f ca="1">+IF(AND(B157&lt;$G$7),VLOOKUP($B$1,Inventory!$A$1:$BC$500,35,FALSE),IF(AND(B157=$G$7,pmt_timing="End"),VLOOKUP($B$1,Inventory!$A$1:$BC$500,35,FALSE),0))</f>
        <v>#N/A</v>
      </c>
      <c r="E157" s="78">
        <v>0</v>
      </c>
      <c r="F157" s="78">
        <v>0</v>
      </c>
      <c r="G157" s="78">
        <v>0</v>
      </c>
      <c r="H157" s="78">
        <v>0</v>
      </c>
      <c r="I157" s="78">
        <v>0</v>
      </c>
      <c r="J157" s="78">
        <v>0</v>
      </c>
      <c r="K157" s="78">
        <v>0</v>
      </c>
      <c r="L157" s="36" t="e">
        <f t="shared" ca="1" si="54"/>
        <v>#N/A</v>
      </c>
      <c r="M157" s="37" t="e">
        <f t="shared" ca="1" si="52"/>
        <v>#N/A</v>
      </c>
      <c r="N157" s="37" t="e">
        <f t="shared" ca="1" si="53"/>
        <v>#N/A</v>
      </c>
      <c r="P157" s="35" t="e">
        <f t="shared" ca="1" si="60"/>
        <v>#N/A</v>
      </c>
      <c r="Q157" s="59" t="e">
        <f t="shared" ca="1" si="55"/>
        <v>#N/A</v>
      </c>
      <c r="R157" s="44" t="e">
        <f t="shared" ca="1" si="56"/>
        <v>#N/A</v>
      </c>
      <c r="S157" s="37" t="e">
        <f ca="1">IF(P157="","",IF(P157="Total",SUM($S$19:S156),VLOOKUP($P157,$B$12:$L211,11,FALSE)))</f>
        <v>#N/A</v>
      </c>
      <c r="T157" s="44" t="e">
        <f ca="1">IF(payfreq="Annually",IF(P157="","",IF(P157="Total",SUM($T$19:T156),Adj_Rate*$R157)),IF(payfreq="Semiannually",IF(P157="","",IF(P157="Total",SUM($T$19:T156),Adj_Rate/2*$R157)),IF(payfreq="Quarterly",IF(P157="","",IF(P157="Total",SUM($T$19:T156),Adj_Rate/4*$R157)),IF(payfreq="Monthly",IF(P157="","",IF(P157="Total",SUM($T$19:T156),Adj_Rate/12*$R157)),""))))</f>
        <v>#N/A</v>
      </c>
      <c r="U157" s="37" t="e">
        <f t="shared" ca="1" si="57"/>
        <v>#N/A</v>
      </c>
      <c r="V157" s="44" t="e">
        <f t="shared" ca="1" si="58"/>
        <v>#N/A</v>
      </c>
    </row>
    <row r="158" spans="2:22">
      <c r="B158" s="38">
        <v>139</v>
      </c>
      <c r="C158" s="77" t="e">
        <f t="shared" ca="1" si="59"/>
        <v>#N/A</v>
      </c>
      <c r="D158" s="78" t="e">
        <f ca="1">+IF(AND(B158&lt;$G$7),VLOOKUP($B$1,Inventory!$A$1:$BC$500,35,FALSE),IF(AND(B158=$G$7,pmt_timing="End"),VLOOKUP($B$1,Inventory!$A$1:$BC$500,35,FALSE),0))</f>
        <v>#N/A</v>
      </c>
      <c r="E158" s="78">
        <v>0</v>
      </c>
      <c r="F158" s="78">
        <v>0</v>
      </c>
      <c r="G158" s="78">
        <v>0</v>
      </c>
      <c r="H158" s="78">
        <v>0</v>
      </c>
      <c r="I158" s="78">
        <v>0</v>
      </c>
      <c r="J158" s="78">
        <v>0</v>
      </c>
      <c r="K158" s="78">
        <v>0</v>
      </c>
      <c r="L158" s="36" t="e">
        <f t="shared" ca="1" si="54"/>
        <v>#N/A</v>
      </c>
      <c r="M158" s="37" t="e">
        <f t="shared" ca="1" si="52"/>
        <v>#N/A</v>
      </c>
      <c r="N158" s="37" t="e">
        <f t="shared" ca="1" si="53"/>
        <v>#N/A</v>
      </c>
      <c r="P158" s="35" t="e">
        <f t="shared" ca="1" si="60"/>
        <v>#N/A</v>
      </c>
      <c r="Q158" s="59" t="e">
        <f t="shared" ca="1" si="55"/>
        <v>#N/A</v>
      </c>
      <c r="R158" s="44" t="e">
        <f t="shared" ca="1" si="56"/>
        <v>#N/A</v>
      </c>
      <c r="S158" s="37" t="e">
        <f ca="1">IF(P158="","",IF(P158="Total",SUM($S$19:S157),VLOOKUP($P158,$B$12:$L212,11,FALSE)))</f>
        <v>#N/A</v>
      </c>
      <c r="T158" s="44" t="e">
        <f ca="1">IF(payfreq="Annually",IF(P158="","",IF(P158="Total",SUM($T$19:T157),Adj_Rate*$R158)),IF(payfreq="Semiannually",IF(P158="","",IF(P158="Total",SUM($T$19:T157),Adj_Rate/2*$R158)),IF(payfreq="Quarterly",IF(P158="","",IF(P158="Total",SUM($T$19:T157),Adj_Rate/4*$R158)),IF(payfreq="Monthly",IF(P158="","",IF(P158="Total",SUM($T$19:T157),Adj_Rate/12*$R158)),""))))</f>
        <v>#N/A</v>
      </c>
      <c r="U158" s="37" t="e">
        <f t="shared" ca="1" si="57"/>
        <v>#N/A</v>
      </c>
      <c r="V158" s="44" t="e">
        <f t="shared" ca="1" si="58"/>
        <v>#N/A</v>
      </c>
    </row>
    <row r="159" spans="2:22">
      <c r="B159" s="38">
        <v>140</v>
      </c>
      <c r="C159" s="77" t="e">
        <f t="shared" ca="1" si="59"/>
        <v>#N/A</v>
      </c>
      <c r="D159" s="78" t="e">
        <f ca="1">+IF(AND(B159&lt;$G$7),VLOOKUP($B$1,Inventory!$A$1:$BC$500,35,FALSE),IF(AND(B159=$G$7,pmt_timing="End"),VLOOKUP($B$1,Inventory!$A$1:$BC$500,35,FALSE),0))</f>
        <v>#N/A</v>
      </c>
      <c r="E159" s="78">
        <v>0</v>
      </c>
      <c r="F159" s="78">
        <v>0</v>
      </c>
      <c r="G159" s="78">
        <v>0</v>
      </c>
      <c r="H159" s="78">
        <v>0</v>
      </c>
      <c r="I159" s="78">
        <v>0</v>
      </c>
      <c r="J159" s="78">
        <v>0</v>
      </c>
      <c r="K159" s="78">
        <v>0</v>
      </c>
      <c r="L159" s="36" t="e">
        <f t="shared" ca="1" si="54"/>
        <v>#N/A</v>
      </c>
      <c r="M159" s="37" t="e">
        <f t="shared" ca="1" si="52"/>
        <v>#N/A</v>
      </c>
      <c r="N159" s="37" t="e">
        <f t="shared" ca="1" si="53"/>
        <v>#N/A</v>
      </c>
      <c r="P159" s="35" t="e">
        <f t="shared" ca="1" si="60"/>
        <v>#N/A</v>
      </c>
      <c r="Q159" s="59" t="e">
        <f t="shared" ca="1" si="55"/>
        <v>#N/A</v>
      </c>
      <c r="R159" s="44" t="e">
        <f t="shared" ca="1" si="56"/>
        <v>#N/A</v>
      </c>
      <c r="S159" s="37" t="e">
        <f ca="1">IF(P159="","",IF(P159="Total",SUM($S$19:S158),VLOOKUP($P159,$B$12:$L213,11,FALSE)))</f>
        <v>#N/A</v>
      </c>
      <c r="T159" s="44" t="e">
        <f ca="1">IF(payfreq="Annually",IF(P159="","",IF(P159="Total",SUM($T$19:T158),Adj_Rate*$R159)),IF(payfreq="Semiannually",IF(P159="","",IF(P159="Total",SUM($T$19:T158),Adj_Rate/2*$R159)),IF(payfreq="Quarterly",IF(P159="","",IF(P159="Total",SUM($T$19:T158),Adj_Rate/4*$R159)),IF(payfreq="Monthly",IF(P159="","",IF(P159="Total",SUM($T$19:T158),Adj_Rate/12*$R159)),""))))</f>
        <v>#N/A</v>
      </c>
      <c r="U159" s="37" t="e">
        <f t="shared" ca="1" si="57"/>
        <v>#N/A</v>
      </c>
      <c r="V159" s="44" t="e">
        <f t="shared" ca="1" si="58"/>
        <v>#N/A</v>
      </c>
    </row>
    <row r="160" spans="2:22">
      <c r="B160" s="38">
        <v>141</v>
      </c>
      <c r="C160" s="77" t="e">
        <f t="shared" ca="1" si="59"/>
        <v>#N/A</v>
      </c>
      <c r="D160" s="78" t="e">
        <f ca="1">+IF(AND(B160&lt;$G$7),VLOOKUP($B$1,Inventory!$A$1:$BC$500,35,FALSE),IF(AND(B160=$G$7,pmt_timing="End"),VLOOKUP($B$1,Inventory!$A$1:$BC$500,35,FALSE),0))</f>
        <v>#N/A</v>
      </c>
      <c r="E160" s="78">
        <v>0</v>
      </c>
      <c r="F160" s="78">
        <v>0</v>
      </c>
      <c r="G160" s="78">
        <v>0</v>
      </c>
      <c r="H160" s="78">
        <v>0</v>
      </c>
      <c r="I160" s="78">
        <v>0</v>
      </c>
      <c r="J160" s="78">
        <v>0</v>
      </c>
      <c r="K160" s="78">
        <v>0</v>
      </c>
      <c r="L160" s="36" t="e">
        <f t="shared" ca="1" si="54"/>
        <v>#N/A</v>
      </c>
      <c r="M160" s="37" t="e">
        <f t="shared" ca="1" si="52"/>
        <v>#N/A</v>
      </c>
      <c r="N160" s="37" t="e">
        <f t="shared" ca="1" si="53"/>
        <v>#N/A</v>
      </c>
      <c r="P160" s="35" t="e">
        <f t="shared" ca="1" si="60"/>
        <v>#N/A</v>
      </c>
      <c r="Q160" s="59" t="e">
        <f t="shared" ca="1" si="55"/>
        <v>#N/A</v>
      </c>
      <c r="R160" s="44" t="e">
        <f t="shared" ca="1" si="56"/>
        <v>#N/A</v>
      </c>
      <c r="S160" s="37" t="e">
        <f ca="1">IF(P160="","",IF(P160="Total",SUM($S$19:S159),VLOOKUP($P160,$B$12:$L214,11,FALSE)))</f>
        <v>#N/A</v>
      </c>
      <c r="T160" s="44" t="e">
        <f ca="1">IF(payfreq="Annually",IF(P160="","",IF(P160="Total",SUM($T$19:T159),Adj_Rate*$R160)),IF(payfreq="Semiannually",IF(P160="","",IF(P160="Total",SUM($T$19:T159),Adj_Rate/2*$R160)),IF(payfreq="Quarterly",IF(P160="","",IF(P160="Total",SUM($T$19:T159),Adj_Rate/4*$R160)),IF(payfreq="Monthly",IF(P160="","",IF(P160="Total",SUM($T$19:T159),Adj_Rate/12*$R160)),""))))</f>
        <v>#N/A</v>
      </c>
      <c r="U160" s="37" t="e">
        <f t="shared" ca="1" si="57"/>
        <v>#N/A</v>
      </c>
      <c r="V160" s="44" t="e">
        <f t="shared" ca="1" si="58"/>
        <v>#N/A</v>
      </c>
    </row>
    <row r="161" spans="2:22">
      <c r="B161" s="38">
        <v>142</v>
      </c>
      <c r="C161" s="77" t="e">
        <f t="shared" ca="1" si="59"/>
        <v>#N/A</v>
      </c>
      <c r="D161" s="78" t="e">
        <f ca="1">+IF(AND(B161&lt;$G$7),VLOOKUP($B$1,Inventory!$A$1:$BC$500,35,FALSE),IF(AND(B161=$G$7,pmt_timing="End"),VLOOKUP($B$1,Inventory!$A$1:$BC$500,35,FALSE),0))</f>
        <v>#N/A</v>
      </c>
      <c r="E161" s="78">
        <v>0</v>
      </c>
      <c r="F161" s="78">
        <v>0</v>
      </c>
      <c r="G161" s="78">
        <v>0</v>
      </c>
      <c r="H161" s="78">
        <v>0</v>
      </c>
      <c r="I161" s="78">
        <v>0</v>
      </c>
      <c r="J161" s="78">
        <v>0</v>
      </c>
      <c r="K161" s="78">
        <v>0</v>
      </c>
      <c r="L161" s="36" t="e">
        <f t="shared" ca="1" si="54"/>
        <v>#N/A</v>
      </c>
      <c r="M161" s="37" t="e">
        <f t="shared" ca="1" si="52"/>
        <v>#N/A</v>
      </c>
      <c r="N161" s="37" t="e">
        <f t="shared" ca="1" si="53"/>
        <v>#N/A</v>
      </c>
      <c r="P161" s="35" t="e">
        <f t="shared" ca="1" si="60"/>
        <v>#N/A</v>
      </c>
      <c r="Q161" s="59" t="e">
        <f t="shared" ca="1" si="55"/>
        <v>#N/A</v>
      </c>
      <c r="R161" s="44" t="e">
        <f t="shared" ca="1" si="56"/>
        <v>#N/A</v>
      </c>
      <c r="S161" s="37" t="e">
        <f ca="1">IF(P161="","",IF(P161="Total",SUM($S$19:S160),VLOOKUP($P161,$B$12:$L215,11,FALSE)))</f>
        <v>#N/A</v>
      </c>
      <c r="T161" s="44" t="e">
        <f ca="1">IF(payfreq="Annually",IF(P161="","",IF(P161="Total",SUM($T$19:T160),Adj_Rate*$R161)),IF(payfreq="Semiannually",IF(P161="","",IF(P161="Total",SUM($T$19:T160),Adj_Rate/2*$R161)),IF(payfreq="Quarterly",IF(P161="","",IF(P161="Total",SUM($T$19:T160),Adj_Rate/4*$R161)),IF(payfreq="Monthly",IF(P161="","",IF(P161="Total",SUM($T$19:T160),Adj_Rate/12*$R161)),""))))</f>
        <v>#N/A</v>
      </c>
      <c r="U161" s="37" t="e">
        <f t="shared" ca="1" si="57"/>
        <v>#N/A</v>
      </c>
      <c r="V161" s="44" t="e">
        <f t="shared" ca="1" si="58"/>
        <v>#N/A</v>
      </c>
    </row>
    <row r="162" spans="2:22">
      <c r="B162" s="38">
        <v>143</v>
      </c>
      <c r="C162" s="77" t="e">
        <f t="shared" ca="1" si="59"/>
        <v>#N/A</v>
      </c>
      <c r="D162" s="78" t="e">
        <f ca="1">+IF(AND(B162&lt;$G$7),VLOOKUP($B$1,Inventory!$A$1:$BC$500,35,FALSE),IF(AND(B162=$G$7,pmt_timing="End"),VLOOKUP($B$1,Inventory!$A$1:$BC$500,35,FALSE),0))</f>
        <v>#N/A</v>
      </c>
      <c r="E162" s="78">
        <v>0</v>
      </c>
      <c r="F162" s="78">
        <v>0</v>
      </c>
      <c r="G162" s="78">
        <v>0</v>
      </c>
      <c r="H162" s="78">
        <v>0</v>
      </c>
      <c r="I162" s="78">
        <v>0</v>
      </c>
      <c r="J162" s="78">
        <v>0</v>
      </c>
      <c r="K162" s="78">
        <v>0</v>
      </c>
      <c r="L162" s="36" t="e">
        <f t="shared" ca="1" si="54"/>
        <v>#N/A</v>
      </c>
      <c r="M162" s="37" t="e">
        <f t="shared" ca="1" si="52"/>
        <v>#N/A</v>
      </c>
      <c r="N162" s="37" t="e">
        <f t="shared" ca="1" si="53"/>
        <v>#N/A</v>
      </c>
      <c r="P162" s="35" t="e">
        <f t="shared" ca="1" si="60"/>
        <v>#N/A</v>
      </c>
      <c r="Q162" s="59" t="e">
        <f t="shared" ca="1" si="55"/>
        <v>#N/A</v>
      </c>
      <c r="R162" s="44" t="e">
        <f t="shared" ca="1" si="56"/>
        <v>#N/A</v>
      </c>
      <c r="S162" s="37" t="e">
        <f ca="1">IF(P162="","",IF(P162="Total",SUM($S$19:S161),VLOOKUP($P162,$B$12:$L216,11,FALSE)))</f>
        <v>#N/A</v>
      </c>
      <c r="T162" s="44" t="e">
        <f ca="1">IF(payfreq="Annually",IF(P162="","",IF(P162="Total",SUM($T$19:T161),Adj_Rate*$R162)),IF(payfreq="Semiannually",IF(P162="","",IF(P162="Total",SUM($T$19:T161),Adj_Rate/2*$R162)),IF(payfreq="Quarterly",IF(P162="","",IF(P162="Total",SUM($T$19:T161),Adj_Rate/4*$R162)),IF(payfreq="Monthly",IF(P162="","",IF(P162="Total",SUM($T$19:T161),Adj_Rate/12*$R162)),""))))</f>
        <v>#N/A</v>
      </c>
      <c r="U162" s="37" t="e">
        <f t="shared" ca="1" si="57"/>
        <v>#N/A</v>
      </c>
      <c r="V162" s="44" t="e">
        <f t="shared" ca="1" si="58"/>
        <v>#N/A</v>
      </c>
    </row>
    <row r="163" spans="2:22">
      <c r="B163" s="38">
        <v>144</v>
      </c>
      <c r="C163" s="77" t="e">
        <f t="shared" ca="1" si="59"/>
        <v>#N/A</v>
      </c>
      <c r="D163" s="78" t="e">
        <f ca="1">+IF(AND(B163&lt;$G$7),VLOOKUP($B$1,Inventory!$A$1:$BC$500,35,FALSE),IF(AND(B163=$G$7,pmt_timing="End"),VLOOKUP($B$1,Inventory!$A$1:$BC$500,35,FALSE),0))</f>
        <v>#N/A</v>
      </c>
      <c r="E163" s="78">
        <v>0</v>
      </c>
      <c r="F163" s="78">
        <v>0</v>
      </c>
      <c r="G163" s="78">
        <v>0</v>
      </c>
      <c r="H163" s="78">
        <v>0</v>
      </c>
      <c r="I163" s="78">
        <v>0</v>
      </c>
      <c r="J163" s="78">
        <v>0</v>
      </c>
      <c r="K163" s="78">
        <v>0</v>
      </c>
      <c r="L163" s="36" t="e">
        <f t="shared" ca="1" si="54"/>
        <v>#N/A</v>
      </c>
      <c r="M163" s="37" t="e">
        <f t="shared" ca="1" si="52"/>
        <v>#N/A</v>
      </c>
      <c r="N163" s="37" t="e">
        <f t="shared" ca="1" si="53"/>
        <v>#N/A</v>
      </c>
      <c r="P163" s="35" t="e">
        <f t="shared" ca="1" si="60"/>
        <v>#N/A</v>
      </c>
      <c r="Q163" s="59" t="e">
        <f t="shared" ca="1" si="55"/>
        <v>#N/A</v>
      </c>
      <c r="R163" s="44" t="e">
        <f t="shared" ca="1" si="56"/>
        <v>#N/A</v>
      </c>
      <c r="S163" s="37" t="e">
        <f ca="1">IF(P163="","",IF(P163="Total",SUM($S$19:S162),VLOOKUP($P163,$B$12:$L217,11,FALSE)))</f>
        <v>#N/A</v>
      </c>
      <c r="T163" s="44" t="e">
        <f ca="1">IF(payfreq="Annually",IF(P163="","",IF(P163="Total",SUM($T$19:T162),Adj_Rate*$R163)),IF(payfreq="Semiannually",IF(P163="","",IF(P163="Total",SUM($T$19:T162),Adj_Rate/2*$R163)),IF(payfreq="Quarterly",IF(P163="","",IF(P163="Total",SUM($T$19:T162),Adj_Rate/4*$R163)),IF(payfreq="Monthly",IF(P163="","",IF(P163="Total",SUM($T$19:T162),Adj_Rate/12*$R163)),""))))</f>
        <v>#N/A</v>
      </c>
      <c r="U163" s="37" t="e">
        <f t="shared" ca="1" si="57"/>
        <v>#N/A</v>
      </c>
      <c r="V163" s="44" t="e">
        <f t="shared" ca="1" si="58"/>
        <v>#N/A</v>
      </c>
    </row>
    <row r="164" spans="2:22">
      <c r="B164" s="38">
        <v>145</v>
      </c>
      <c r="C164" s="77" t="e">
        <f t="shared" ca="1" si="59"/>
        <v>#N/A</v>
      </c>
      <c r="D164" s="78" t="e">
        <f ca="1">+IF(AND(B164&lt;$G$7),VLOOKUP($B$1,Inventory!$A$1:$BC$500,35,FALSE),IF(AND(B164=$G$7,pmt_timing="End"),VLOOKUP($B$1,Inventory!$A$1:$BC$500,35,FALSE),0))</f>
        <v>#N/A</v>
      </c>
      <c r="E164" s="78">
        <v>0</v>
      </c>
      <c r="F164" s="78">
        <v>0</v>
      </c>
      <c r="G164" s="78">
        <v>0</v>
      </c>
      <c r="H164" s="78">
        <v>0</v>
      </c>
      <c r="I164" s="78">
        <v>0</v>
      </c>
      <c r="J164" s="78">
        <v>0</v>
      </c>
      <c r="K164" s="78">
        <v>0</v>
      </c>
      <c r="L164" s="36" t="e">
        <f t="shared" ca="1" si="54"/>
        <v>#N/A</v>
      </c>
      <c r="M164" s="37" t="e">
        <f t="shared" ca="1" si="52"/>
        <v>#N/A</v>
      </c>
      <c r="N164" s="37" t="e">
        <f t="shared" ca="1" si="53"/>
        <v>#N/A</v>
      </c>
      <c r="P164" s="35" t="e">
        <f t="shared" ca="1" si="60"/>
        <v>#N/A</v>
      </c>
      <c r="Q164" s="59" t="e">
        <f t="shared" ca="1" si="55"/>
        <v>#N/A</v>
      </c>
      <c r="R164" s="44" t="e">
        <f t="shared" ca="1" si="56"/>
        <v>#N/A</v>
      </c>
      <c r="S164" s="37" t="e">
        <f ca="1">IF(P164="","",IF(P164="Total",SUM($S$19:S163),VLOOKUP($P164,$B$12:$L218,11,FALSE)))</f>
        <v>#N/A</v>
      </c>
      <c r="T164" s="44" t="e">
        <f ca="1">IF(payfreq="Annually",IF(P164="","",IF(P164="Total",SUM($T$19:T163),Adj_Rate*$R164)),IF(payfreq="Semiannually",IF(P164="","",IF(P164="Total",SUM($T$19:T163),Adj_Rate/2*$R164)),IF(payfreq="Quarterly",IF(P164="","",IF(P164="Total",SUM($T$19:T163),Adj_Rate/4*$R164)),IF(payfreq="Monthly",IF(P164="","",IF(P164="Total",SUM($T$19:T163),Adj_Rate/12*$R164)),""))))</f>
        <v>#N/A</v>
      </c>
      <c r="U164" s="37" t="e">
        <f t="shared" ca="1" si="57"/>
        <v>#N/A</v>
      </c>
      <c r="V164" s="44" t="e">
        <f t="shared" ca="1" si="58"/>
        <v>#N/A</v>
      </c>
    </row>
    <row r="165" spans="2:22">
      <c r="B165" s="38">
        <v>146</v>
      </c>
      <c r="C165" s="77" t="e">
        <f t="shared" ca="1" si="59"/>
        <v>#N/A</v>
      </c>
      <c r="D165" s="78" t="e">
        <f ca="1">+IF(AND(B165&lt;$G$7),VLOOKUP($B$1,Inventory!$A$1:$BC$500,35,FALSE),IF(AND(B165=$G$7,pmt_timing="End"),VLOOKUP($B$1,Inventory!$A$1:$BC$500,35,FALSE),0))</f>
        <v>#N/A</v>
      </c>
      <c r="E165" s="78">
        <v>0</v>
      </c>
      <c r="F165" s="78">
        <v>0</v>
      </c>
      <c r="G165" s="78">
        <v>0</v>
      </c>
      <c r="H165" s="78">
        <v>0</v>
      </c>
      <c r="I165" s="78">
        <v>0</v>
      </c>
      <c r="J165" s="78">
        <v>0</v>
      </c>
      <c r="K165" s="78">
        <v>0</v>
      </c>
      <c r="L165" s="36" t="e">
        <f t="shared" ca="1" si="54"/>
        <v>#N/A</v>
      </c>
      <c r="M165" s="37" t="e">
        <f t="shared" ca="1" si="52"/>
        <v>#N/A</v>
      </c>
      <c r="N165" s="37" t="e">
        <f t="shared" ca="1" si="53"/>
        <v>#N/A</v>
      </c>
      <c r="P165" s="35" t="e">
        <f t="shared" ca="1" si="60"/>
        <v>#N/A</v>
      </c>
      <c r="Q165" s="59" t="e">
        <f t="shared" ca="1" si="55"/>
        <v>#N/A</v>
      </c>
      <c r="R165" s="44" t="e">
        <f t="shared" ca="1" si="56"/>
        <v>#N/A</v>
      </c>
      <c r="S165" s="37" t="e">
        <f ca="1">IF(P165="","",IF(P165="Total",SUM($S$19:S164),VLOOKUP($P165,$B$12:$L219,11,FALSE)))</f>
        <v>#N/A</v>
      </c>
      <c r="T165" s="44" t="e">
        <f ca="1">IF(payfreq="Annually",IF(P165="","",IF(P165="Total",SUM($T$19:T164),Adj_Rate*$R165)),IF(payfreq="Semiannually",IF(P165="","",IF(P165="Total",SUM($T$19:T164),Adj_Rate/2*$R165)),IF(payfreq="Quarterly",IF(P165="","",IF(P165="Total",SUM($T$19:T164),Adj_Rate/4*$R165)),IF(payfreq="Monthly",IF(P165="","",IF(P165="Total",SUM($T$19:T164),Adj_Rate/12*$R165)),""))))</f>
        <v>#N/A</v>
      </c>
      <c r="U165" s="37" t="e">
        <f t="shared" ca="1" si="57"/>
        <v>#N/A</v>
      </c>
      <c r="V165" s="44" t="e">
        <f t="shared" ca="1" si="58"/>
        <v>#N/A</v>
      </c>
    </row>
    <row r="166" spans="2:22">
      <c r="B166" s="38">
        <v>147</v>
      </c>
      <c r="C166" s="77" t="e">
        <f t="shared" ca="1" si="59"/>
        <v>#N/A</v>
      </c>
      <c r="D166" s="78" t="e">
        <f ca="1">+IF(AND(B166&lt;$G$7),VLOOKUP($B$1,Inventory!$A$1:$BC$500,35,FALSE),IF(AND(B166=$G$7,pmt_timing="End"),VLOOKUP($B$1,Inventory!$A$1:$BC$500,35,FALSE),0))</f>
        <v>#N/A</v>
      </c>
      <c r="E166" s="78">
        <v>0</v>
      </c>
      <c r="F166" s="78">
        <v>0</v>
      </c>
      <c r="G166" s="78">
        <v>0</v>
      </c>
      <c r="H166" s="78">
        <v>0</v>
      </c>
      <c r="I166" s="78">
        <v>0</v>
      </c>
      <c r="J166" s="78">
        <v>0</v>
      </c>
      <c r="K166" s="78">
        <v>0</v>
      </c>
      <c r="L166" s="36" t="e">
        <f t="shared" ca="1" si="54"/>
        <v>#N/A</v>
      </c>
      <c r="M166" s="37" t="e">
        <f t="shared" ca="1" si="52"/>
        <v>#N/A</v>
      </c>
      <c r="N166" s="37" t="e">
        <f t="shared" ca="1" si="53"/>
        <v>#N/A</v>
      </c>
      <c r="P166" s="35" t="e">
        <f t="shared" ca="1" si="60"/>
        <v>#N/A</v>
      </c>
      <c r="Q166" s="59" t="e">
        <f t="shared" ca="1" si="55"/>
        <v>#N/A</v>
      </c>
      <c r="R166" s="44" t="e">
        <f t="shared" ca="1" si="56"/>
        <v>#N/A</v>
      </c>
      <c r="S166" s="37" t="e">
        <f ca="1">IF(P166="","",IF(P166="Total",SUM($S$19:S165),VLOOKUP($P166,$B$12:$L220,11,FALSE)))</f>
        <v>#N/A</v>
      </c>
      <c r="T166" s="44" t="e">
        <f ca="1">IF(payfreq="Annually",IF(P166="","",IF(P166="Total",SUM($T$19:T165),Adj_Rate*$R166)),IF(payfreq="Semiannually",IF(P166="","",IF(P166="Total",SUM($T$19:T165),Adj_Rate/2*$R166)),IF(payfreq="Quarterly",IF(P166="","",IF(P166="Total",SUM($T$19:T165),Adj_Rate/4*$R166)),IF(payfreq="Monthly",IF(P166="","",IF(P166="Total",SUM($T$19:T165),Adj_Rate/12*$R166)),""))))</f>
        <v>#N/A</v>
      </c>
      <c r="U166" s="37" t="e">
        <f t="shared" ca="1" si="57"/>
        <v>#N/A</v>
      </c>
      <c r="V166" s="44" t="e">
        <f t="shared" ca="1" si="58"/>
        <v>#N/A</v>
      </c>
    </row>
    <row r="167" spans="2:22">
      <c r="B167" s="38">
        <v>148</v>
      </c>
      <c r="C167" s="77" t="e">
        <f t="shared" ca="1" si="59"/>
        <v>#N/A</v>
      </c>
      <c r="D167" s="78" t="e">
        <f ca="1">+IF(AND(B167&lt;$G$7),VLOOKUP($B$1,Inventory!$A$1:$BC$500,35,FALSE),IF(AND(B167=$G$7,pmt_timing="End"),VLOOKUP($B$1,Inventory!$A$1:$BC$500,35,FALSE),0))</f>
        <v>#N/A</v>
      </c>
      <c r="E167" s="78">
        <v>0</v>
      </c>
      <c r="F167" s="78">
        <v>0</v>
      </c>
      <c r="G167" s="78">
        <v>0</v>
      </c>
      <c r="H167" s="78">
        <v>0</v>
      </c>
      <c r="I167" s="78">
        <v>0</v>
      </c>
      <c r="J167" s="78">
        <v>0</v>
      </c>
      <c r="K167" s="78">
        <v>0</v>
      </c>
      <c r="L167" s="36" t="e">
        <f t="shared" ca="1" si="54"/>
        <v>#N/A</v>
      </c>
      <c r="M167" s="37" t="e">
        <f t="shared" ca="1" si="52"/>
        <v>#N/A</v>
      </c>
      <c r="N167" s="37" t="e">
        <f t="shared" ca="1" si="53"/>
        <v>#N/A</v>
      </c>
      <c r="P167" s="35" t="e">
        <f t="shared" ca="1" si="60"/>
        <v>#N/A</v>
      </c>
      <c r="Q167" s="59" t="e">
        <f t="shared" ca="1" si="55"/>
        <v>#N/A</v>
      </c>
      <c r="R167" s="44" t="e">
        <f t="shared" ca="1" si="56"/>
        <v>#N/A</v>
      </c>
      <c r="S167" s="37" t="e">
        <f ca="1">IF(P167="","",IF(P167="Total",SUM($S$19:S166),VLOOKUP($P167,$B$12:$L221,11,FALSE)))</f>
        <v>#N/A</v>
      </c>
      <c r="T167" s="44" t="e">
        <f ca="1">IF(payfreq="Annually",IF(P167="","",IF(P167="Total",SUM($T$19:T166),Adj_Rate*$R167)),IF(payfreq="Semiannually",IF(P167="","",IF(P167="Total",SUM($T$19:T166),Adj_Rate/2*$R167)),IF(payfreq="Quarterly",IF(P167="","",IF(P167="Total",SUM($T$19:T166),Adj_Rate/4*$R167)),IF(payfreq="Monthly",IF(P167="","",IF(P167="Total",SUM($T$19:T166),Adj_Rate/12*$R167)),""))))</f>
        <v>#N/A</v>
      </c>
      <c r="U167" s="37" t="e">
        <f t="shared" ca="1" si="57"/>
        <v>#N/A</v>
      </c>
      <c r="V167" s="44" t="e">
        <f t="shared" ca="1" si="58"/>
        <v>#N/A</v>
      </c>
    </row>
    <row r="168" spans="2:22">
      <c r="B168" s="38">
        <v>149</v>
      </c>
      <c r="C168" s="77" t="e">
        <f t="shared" ca="1" si="59"/>
        <v>#N/A</v>
      </c>
      <c r="D168" s="78" t="e">
        <f ca="1">+IF(AND(B168&lt;$G$7),VLOOKUP($B$1,Inventory!$A$1:$BC$500,35,FALSE),IF(AND(B168=$G$7,pmt_timing="End"),VLOOKUP($B$1,Inventory!$A$1:$BC$500,35,FALSE),0))</f>
        <v>#N/A</v>
      </c>
      <c r="E168" s="78">
        <v>0</v>
      </c>
      <c r="F168" s="78">
        <v>0</v>
      </c>
      <c r="G168" s="78">
        <v>0</v>
      </c>
      <c r="H168" s="78">
        <v>0</v>
      </c>
      <c r="I168" s="78">
        <v>0</v>
      </c>
      <c r="J168" s="78">
        <v>0</v>
      </c>
      <c r="K168" s="78">
        <v>0</v>
      </c>
      <c r="L168" s="36" t="e">
        <f t="shared" ca="1" si="54"/>
        <v>#N/A</v>
      </c>
      <c r="M168" s="37" t="e">
        <f t="shared" ca="1" si="52"/>
        <v>#N/A</v>
      </c>
      <c r="N168" s="37" t="e">
        <f t="shared" ca="1" si="53"/>
        <v>#N/A</v>
      </c>
      <c r="P168" s="35" t="e">
        <f t="shared" ca="1" si="60"/>
        <v>#N/A</v>
      </c>
      <c r="Q168" s="59" t="e">
        <f t="shared" ca="1" si="55"/>
        <v>#N/A</v>
      </c>
      <c r="R168" s="44" t="e">
        <f t="shared" ca="1" si="56"/>
        <v>#N/A</v>
      </c>
      <c r="S168" s="37" t="e">
        <f ca="1">IF(P168="","",IF(P168="Total",SUM($S$19:S167),VLOOKUP($P168,$B$12:$L222,11,FALSE)))</f>
        <v>#N/A</v>
      </c>
      <c r="T168" s="44" t="e">
        <f ca="1">IF(payfreq="Annually",IF(P168="","",IF(P168="Total",SUM($T$19:T167),Adj_Rate*$R168)),IF(payfreq="Semiannually",IF(P168="","",IF(P168="Total",SUM($T$19:T167),Adj_Rate/2*$R168)),IF(payfreq="Quarterly",IF(P168="","",IF(P168="Total",SUM($T$19:T167),Adj_Rate/4*$R168)),IF(payfreq="Monthly",IF(P168="","",IF(P168="Total",SUM($T$19:T167),Adj_Rate/12*$R168)),""))))</f>
        <v>#N/A</v>
      </c>
      <c r="U168" s="37" t="e">
        <f t="shared" ca="1" si="57"/>
        <v>#N/A</v>
      </c>
      <c r="V168" s="44" t="e">
        <f t="shared" ca="1" si="58"/>
        <v>#N/A</v>
      </c>
    </row>
    <row r="169" spans="2:22">
      <c r="B169" s="38">
        <v>150</v>
      </c>
      <c r="C169" s="77" t="e">
        <f t="shared" ca="1" si="59"/>
        <v>#N/A</v>
      </c>
      <c r="D169" s="78" t="e">
        <f ca="1">+IF(AND(B169&lt;$G$7),VLOOKUP($B$1,Inventory!$A$1:$BC$500,35,FALSE),IF(AND(B169=$G$7,pmt_timing="End"),VLOOKUP($B$1,Inventory!$A$1:$BC$500,35,FALSE),0))</f>
        <v>#N/A</v>
      </c>
      <c r="E169" s="78">
        <v>0</v>
      </c>
      <c r="F169" s="78">
        <v>0</v>
      </c>
      <c r="G169" s="78">
        <v>0</v>
      </c>
      <c r="H169" s="78">
        <v>0</v>
      </c>
      <c r="I169" s="78">
        <v>0</v>
      </c>
      <c r="J169" s="78">
        <v>0</v>
      </c>
      <c r="K169" s="78">
        <v>0</v>
      </c>
      <c r="L169" s="36" t="e">
        <f t="shared" ca="1" si="54"/>
        <v>#N/A</v>
      </c>
      <c r="M169" s="37" t="e">
        <f t="shared" ca="1" si="52"/>
        <v>#N/A</v>
      </c>
      <c r="N169" s="37" t="e">
        <f t="shared" ca="1" si="53"/>
        <v>#N/A</v>
      </c>
      <c r="P169" s="35" t="e">
        <f t="shared" ca="1" si="60"/>
        <v>#N/A</v>
      </c>
      <c r="Q169" s="59" t="e">
        <f t="shared" ca="1" si="55"/>
        <v>#N/A</v>
      </c>
      <c r="R169" s="44" t="e">
        <f t="shared" ca="1" si="56"/>
        <v>#N/A</v>
      </c>
      <c r="S169" s="37" t="e">
        <f ca="1">IF(P169="","",IF(P169="Total",SUM($S$19:S168),VLOOKUP($P169,$B$12:$L223,11,FALSE)))</f>
        <v>#N/A</v>
      </c>
      <c r="T169" s="44" t="e">
        <f ca="1">IF(payfreq="Annually",IF(P169="","",IF(P169="Total",SUM($T$19:T168),Adj_Rate*$R169)),IF(payfreq="Semiannually",IF(P169="","",IF(P169="Total",SUM($T$19:T168),Adj_Rate/2*$R169)),IF(payfreq="Quarterly",IF(P169="","",IF(P169="Total",SUM($T$19:T168),Adj_Rate/4*$R169)),IF(payfreq="Monthly",IF(P169="","",IF(P169="Total",SUM($T$19:T168),Adj_Rate/12*$R169)),""))))</f>
        <v>#N/A</v>
      </c>
      <c r="U169" s="37" t="e">
        <f t="shared" ca="1" si="57"/>
        <v>#N/A</v>
      </c>
      <c r="V169" s="44" t="e">
        <f t="shared" ca="1" si="58"/>
        <v>#N/A</v>
      </c>
    </row>
    <row r="170" spans="2:22">
      <c r="B170" s="38">
        <v>151</v>
      </c>
      <c r="C170" s="77" t="e">
        <f t="shared" ca="1" si="59"/>
        <v>#N/A</v>
      </c>
      <c r="D170" s="78" t="e">
        <f ca="1">+IF(AND(B170&lt;$G$7),VLOOKUP($B$1,Inventory!$A$1:$BC$500,35,FALSE),IF(AND(B170=$G$7,pmt_timing="End"),VLOOKUP($B$1,Inventory!$A$1:$BC$500,35,FALSE),0))</f>
        <v>#N/A</v>
      </c>
      <c r="E170" s="78">
        <v>0</v>
      </c>
      <c r="F170" s="78">
        <v>0</v>
      </c>
      <c r="G170" s="78">
        <v>0</v>
      </c>
      <c r="H170" s="78">
        <v>0</v>
      </c>
      <c r="I170" s="78">
        <v>0</v>
      </c>
      <c r="J170" s="78">
        <v>0</v>
      </c>
      <c r="K170" s="78">
        <v>0</v>
      </c>
      <c r="L170" s="36" t="e">
        <f t="shared" ca="1" si="54"/>
        <v>#N/A</v>
      </c>
      <c r="M170" s="37" t="e">
        <f t="shared" ca="1" si="52"/>
        <v>#N/A</v>
      </c>
      <c r="N170" s="37" t="e">
        <f t="shared" ca="1" si="53"/>
        <v>#N/A</v>
      </c>
      <c r="P170" s="35" t="e">
        <f t="shared" ca="1" si="60"/>
        <v>#N/A</v>
      </c>
      <c r="Q170" s="59" t="e">
        <f t="shared" ca="1" si="55"/>
        <v>#N/A</v>
      </c>
      <c r="R170" s="44" t="e">
        <f t="shared" ca="1" si="56"/>
        <v>#N/A</v>
      </c>
      <c r="S170" s="37" t="e">
        <f ca="1">IF(P170="","",IF(P170="Total",SUM($S$19:S169),VLOOKUP($P170,$B$12:$L224,11,FALSE)))</f>
        <v>#N/A</v>
      </c>
      <c r="T170" s="44" t="e">
        <f ca="1">IF(payfreq="Annually",IF(P170="","",IF(P170="Total",SUM($T$19:T169),Adj_Rate*$R170)),IF(payfreq="Semiannually",IF(P170="","",IF(P170="Total",SUM($T$19:T169),Adj_Rate/2*$R170)),IF(payfreq="Quarterly",IF(P170="","",IF(P170="Total",SUM($T$19:T169),Adj_Rate/4*$R170)),IF(payfreq="Monthly",IF(P170="","",IF(P170="Total",SUM($T$19:T169),Adj_Rate/12*$R170)),""))))</f>
        <v>#N/A</v>
      </c>
      <c r="U170" s="37" t="e">
        <f t="shared" ca="1" si="57"/>
        <v>#N/A</v>
      </c>
      <c r="V170" s="44" t="e">
        <f t="shared" ca="1" si="58"/>
        <v>#N/A</v>
      </c>
    </row>
    <row r="171" spans="2:22">
      <c r="B171" s="38">
        <v>152</v>
      </c>
      <c r="C171" s="77" t="e">
        <f t="shared" ca="1" si="59"/>
        <v>#N/A</v>
      </c>
      <c r="D171" s="78" t="e">
        <f ca="1">+IF(AND(B171&lt;$G$7),VLOOKUP($B$1,Inventory!$A$1:$BC$500,35,FALSE),IF(AND(B171=$G$7,pmt_timing="End"),VLOOKUP($B$1,Inventory!$A$1:$BC$500,35,FALSE),0))</f>
        <v>#N/A</v>
      </c>
      <c r="E171" s="78">
        <v>0</v>
      </c>
      <c r="F171" s="78">
        <v>0</v>
      </c>
      <c r="G171" s="78">
        <v>0</v>
      </c>
      <c r="H171" s="78">
        <v>0</v>
      </c>
      <c r="I171" s="78">
        <v>0</v>
      </c>
      <c r="J171" s="78">
        <v>0</v>
      </c>
      <c r="K171" s="78">
        <v>0</v>
      </c>
      <c r="L171" s="36" t="e">
        <f t="shared" ca="1" si="54"/>
        <v>#N/A</v>
      </c>
      <c r="M171" s="37" t="e">
        <f t="shared" ca="1" si="52"/>
        <v>#N/A</v>
      </c>
      <c r="N171" s="37" t="e">
        <f t="shared" ca="1" si="53"/>
        <v>#N/A</v>
      </c>
      <c r="P171" s="35" t="e">
        <f t="shared" ca="1" si="60"/>
        <v>#N/A</v>
      </c>
      <c r="Q171" s="59" t="e">
        <f t="shared" ca="1" si="55"/>
        <v>#N/A</v>
      </c>
      <c r="R171" s="44" t="e">
        <f t="shared" ca="1" si="56"/>
        <v>#N/A</v>
      </c>
      <c r="S171" s="37" t="e">
        <f ca="1">IF(P171="","",IF(P171="Total",SUM($S$19:S170),VLOOKUP($P171,$B$12:$L225,11,FALSE)))</f>
        <v>#N/A</v>
      </c>
      <c r="T171" s="44" t="e">
        <f ca="1">IF(payfreq="Annually",IF(P171="","",IF(P171="Total",SUM($T$19:T170),Adj_Rate*$R171)),IF(payfreq="Semiannually",IF(P171="","",IF(P171="Total",SUM($T$19:T170),Adj_Rate/2*$R171)),IF(payfreq="Quarterly",IF(P171="","",IF(P171="Total",SUM($T$19:T170),Adj_Rate/4*$R171)),IF(payfreq="Monthly",IF(P171="","",IF(P171="Total",SUM($T$19:T170),Adj_Rate/12*$R171)),""))))</f>
        <v>#N/A</v>
      </c>
      <c r="U171" s="37" t="e">
        <f t="shared" ca="1" si="57"/>
        <v>#N/A</v>
      </c>
      <c r="V171" s="44" t="e">
        <f t="shared" ca="1" si="58"/>
        <v>#N/A</v>
      </c>
    </row>
    <row r="172" spans="2:22">
      <c r="B172" s="38">
        <v>153</v>
      </c>
      <c r="C172" s="77" t="e">
        <f t="shared" ca="1" si="59"/>
        <v>#N/A</v>
      </c>
      <c r="D172" s="78" t="e">
        <f ca="1">+IF(AND(B172&lt;$G$7),VLOOKUP($B$1,Inventory!$A$1:$BC$500,35,FALSE),IF(AND(B172=$G$7,pmt_timing="End"),VLOOKUP($B$1,Inventory!$A$1:$BC$500,35,FALSE),0))</f>
        <v>#N/A</v>
      </c>
      <c r="E172" s="78">
        <v>0</v>
      </c>
      <c r="F172" s="78">
        <v>0</v>
      </c>
      <c r="G172" s="78">
        <v>0</v>
      </c>
      <c r="H172" s="78">
        <v>0</v>
      </c>
      <c r="I172" s="78">
        <v>0</v>
      </c>
      <c r="J172" s="78">
        <v>0</v>
      </c>
      <c r="K172" s="78">
        <v>0</v>
      </c>
      <c r="L172" s="36" t="e">
        <f t="shared" ca="1" si="54"/>
        <v>#N/A</v>
      </c>
      <c r="M172" s="37" t="e">
        <f t="shared" ca="1" si="52"/>
        <v>#N/A</v>
      </c>
      <c r="N172" s="37" t="e">
        <f t="shared" ca="1" si="53"/>
        <v>#N/A</v>
      </c>
      <c r="P172" s="35" t="e">
        <f t="shared" ca="1" si="60"/>
        <v>#N/A</v>
      </c>
      <c r="Q172" s="59" t="e">
        <f t="shared" ca="1" si="55"/>
        <v>#N/A</v>
      </c>
      <c r="R172" s="44" t="e">
        <f t="shared" ca="1" si="56"/>
        <v>#N/A</v>
      </c>
      <c r="S172" s="37" t="e">
        <f ca="1">IF(P172="","",IF(P172="Total",SUM($S$19:S171),VLOOKUP($P172,$B$12:$L226,11,FALSE)))</f>
        <v>#N/A</v>
      </c>
      <c r="T172" s="44" t="e">
        <f ca="1">IF(payfreq="Annually",IF(P172="","",IF(P172="Total",SUM($T$19:T171),Adj_Rate*$R172)),IF(payfreq="Semiannually",IF(P172="","",IF(P172="Total",SUM($T$19:T171),Adj_Rate/2*$R172)),IF(payfreq="Quarterly",IF(P172="","",IF(P172="Total",SUM($T$19:T171),Adj_Rate/4*$R172)),IF(payfreq="Monthly",IF(P172="","",IF(P172="Total",SUM($T$19:T171),Adj_Rate/12*$R172)),""))))</f>
        <v>#N/A</v>
      </c>
      <c r="U172" s="37" t="e">
        <f t="shared" ca="1" si="57"/>
        <v>#N/A</v>
      </c>
      <c r="V172" s="44" t="e">
        <f t="shared" ca="1" si="58"/>
        <v>#N/A</v>
      </c>
    </row>
    <row r="173" spans="2:22">
      <c r="B173" s="38">
        <v>154</v>
      </c>
      <c r="C173" s="77" t="e">
        <f t="shared" ca="1" si="59"/>
        <v>#N/A</v>
      </c>
      <c r="D173" s="78" t="e">
        <f ca="1">+IF(AND(B173&lt;$G$7),VLOOKUP($B$1,Inventory!$A$1:$BC$500,35,FALSE),IF(AND(B173=$G$7,pmt_timing="End"),VLOOKUP($B$1,Inventory!$A$1:$BC$500,35,FALSE),0))</f>
        <v>#N/A</v>
      </c>
      <c r="E173" s="78">
        <v>0</v>
      </c>
      <c r="F173" s="78">
        <v>0</v>
      </c>
      <c r="G173" s="78">
        <v>0</v>
      </c>
      <c r="H173" s="78">
        <v>0</v>
      </c>
      <c r="I173" s="78">
        <v>0</v>
      </c>
      <c r="J173" s="78">
        <v>0</v>
      </c>
      <c r="K173" s="78">
        <v>0</v>
      </c>
      <c r="L173" s="36" t="e">
        <f t="shared" ca="1" si="54"/>
        <v>#N/A</v>
      </c>
      <c r="M173" s="37" t="e">
        <f t="shared" ca="1" si="52"/>
        <v>#N/A</v>
      </c>
      <c r="N173" s="37" t="e">
        <f t="shared" ca="1" si="53"/>
        <v>#N/A</v>
      </c>
      <c r="P173" s="35" t="e">
        <f t="shared" ca="1" si="60"/>
        <v>#N/A</v>
      </c>
      <c r="Q173" s="59" t="e">
        <f t="shared" ca="1" si="55"/>
        <v>#N/A</v>
      </c>
      <c r="R173" s="44" t="e">
        <f t="shared" ca="1" si="56"/>
        <v>#N/A</v>
      </c>
      <c r="S173" s="37" t="e">
        <f ca="1">IF(P173="","",IF(P173="Total",SUM($S$19:S172),VLOOKUP($P173,$B$12:$L227,11,FALSE)))</f>
        <v>#N/A</v>
      </c>
      <c r="T173" s="44" t="e">
        <f ca="1">IF(payfreq="Annually",IF(P173="","",IF(P173="Total",SUM($T$19:T172),Adj_Rate*$R173)),IF(payfreq="Semiannually",IF(P173="","",IF(P173="Total",SUM($T$19:T172),Adj_Rate/2*$R173)),IF(payfreq="Quarterly",IF(P173="","",IF(P173="Total",SUM($T$19:T172),Adj_Rate/4*$R173)),IF(payfreq="Monthly",IF(P173="","",IF(P173="Total",SUM($T$19:T172),Adj_Rate/12*$R173)),""))))</f>
        <v>#N/A</v>
      </c>
      <c r="U173" s="37" t="e">
        <f t="shared" ca="1" si="57"/>
        <v>#N/A</v>
      </c>
      <c r="V173" s="44" t="e">
        <f t="shared" ca="1" si="58"/>
        <v>#N/A</v>
      </c>
    </row>
    <row r="174" spans="2:22">
      <c r="B174" s="38">
        <v>155</v>
      </c>
      <c r="C174" s="77" t="e">
        <f t="shared" ca="1" si="59"/>
        <v>#N/A</v>
      </c>
      <c r="D174" s="78" t="e">
        <f ca="1">+IF(AND(B174&lt;$G$7),VLOOKUP($B$1,Inventory!$A$1:$BC$500,35,FALSE),IF(AND(B174=$G$7,pmt_timing="End"),VLOOKUP($B$1,Inventory!$A$1:$BC$500,35,FALSE),0))</f>
        <v>#N/A</v>
      </c>
      <c r="E174" s="78">
        <v>0</v>
      </c>
      <c r="F174" s="78">
        <v>0</v>
      </c>
      <c r="G174" s="78">
        <v>0</v>
      </c>
      <c r="H174" s="78">
        <v>0</v>
      </c>
      <c r="I174" s="78">
        <v>0</v>
      </c>
      <c r="J174" s="78">
        <v>0</v>
      </c>
      <c r="K174" s="78">
        <v>0</v>
      </c>
      <c r="L174" s="36" t="e">
        <f t="shared" ca="1" si="54"/>
        <v>#N/A</v>
      </c>
      <c r="M174" s="37" t="e">
        <f t="shared" ca="1" si="52"/>
        <v>#N/A</v>
      </c>
      <c r="N174" s="37" t="e">
        <f t="shared" ca="1" si="53"/>
        <v>#N/A</v>
      </c>
      <c r="P174" s="35" t="e">
        <f t="shared" ca="1" si="60"/>
        <v>#N/A</v>
      </c>
      <c r="Q174" s="59" t="e">
        <f t="shared" ca="1" si="55"/>
        <v>#N/A</v>
      </c>
      <c r="R174" s="44" t="e">
        <f t="shared" ca="1" si="56"/>
        <v>#N/A</v>
      </c>
      <c r="S174" s="37" t="e">
        <f ca="1">IF(P174="","",IF(P174="Total",SUM($S$19:S173),VLOOKUP($P174,$B$12:$L228,11,FALSE)))</f>
        <v>#N/A</v>
      </c>
      <c r="T174" s="44" t="e">
        <f ca="1">IF(payfreq="Annually",IF(P174="","",IF(P174="Total",SUM($T$19:T173),Adj_Rate*$R174)),IF(payfreq="Semiannually",IF(P174="","",IF(P174="Total",SUM($T$19:T173),Adj_Rate/2*$R174)),IF(payfreq="Quarterly",IF(P174="","",IF(P174="Total",SUM($T$19:T173),Adj_Rate/4*$R174)),IF(payfreq="Monthly",IF(P174="","",IF(P174="Total",SUM($T$19:T173),Adj_Rate/12*$R174)),""))))</f>
        <v>#N/A</v>
      </c>
      <c r="U174" s="37" t="e">
        <f t="shared" ca="1" si="57"/>
        <v>#N/A</v>
      </c>
      <c r="V174" s="44" t="e">
        <f t="shared" ca="1" si="58"/>
        <v>#N/A</v>
      </c>
    </row>
    <row r="175" spans="2:22">
      <c r="B175" s="38">
        <v>156</v>
      </c>
      <c r="C175" s="77" t="e">
        <f t="shared" ca="1" si="59"/>
        <v>#N/A</v>
      </c>
      <c r="D175" s="78" t="e">
        <f ca="1">+IF(AND(B175&lt;$G$7),VLOOKUP($B$1,Inventory!$A$1:$BC$500,35,FALSE),IF(AND(B175=$G$7,pmt_timing="End"),VLOOKUP($B$1,Inventory!$A$1:$BC$500,35,FALSE),0))</f>
        <v>#N/A</v>
      </c>
      <c r="E175" s="78">
        <v>0</v>
      </c>
      <c r="F175" s="78">
        <v>0</v>
      </c>
      <c r="G175" s="78">
        <v>0</v>
      </c>
      <c r="H175" s="78">
        <v>0</v>
      </c>
      <c r="I175" s="78">
        <v>0</v>
      </c>
      <c r="J175" s="78">
        <v>0</v>
      </c>
      <c r="K175" s="78">
        <v>0</v>
      </c>
      <c r="L175" s="36" t="e">
        <f t="shared" ca="1" si="54"/>
        <v>#N/A</v>
      </c>
      <c r="M175" s="37" t="e">
        <f t="shared" ca="1" si="52"/>
        <v>#N/A</v>
      </c>
      <c r="N175" s="37" t="e">
        <f t="shared" ca="1" si="53"/>
        <v>#N/A</v>
      </c>
      <c r="P175" s="35" t="e">
        <f t="shared" ca="1" si="60"/>
        <v>#N/A</v>
      </c>
      <c r="Q175" s="59" t="e">
        <f t="shared" ca="1" si="55"/>
        <v>#N/A</v>
      </c>
      <c r="R175" s="44" t="e">
        <f t="shared" ca="1" si="56"/>
        <v>#N/A</v>
      </c>
      <c r="S175" s="37" t="e">
        <f ca="1">IF(P175="","",IF(P175="Total",SUM($S$19:S174),VLOOKUP($P175,$B$12:$L229,11,FALSE)))</f>
        <v>#N/A</v>
      </c>
      <c r="T175" s="44" t="e">
        <f ca="1">IF(payfreq="Annually",IF(P175="","",IF(P175="Total",SUM($T$19:T174),Adj_Rate*$R175)),IF(payfreq="Semiannually",IF(P175="","",IF(P175="Total",SUM($T$19:T174),Adj_Rate/2*$R175)),IF(payfreq="Quarterly",IF(P175="","",IF(P175="Total",SUM($T$19:T174),Adj_Rate/4*$R175)),IF(payfreq="Monthly",IF(P175="","",IF(P175="Total",SUM($T$19:T174),Adj_Rate/12*$R175)),""))))</f>
        <v>#N/A</v>
      </c>
      <c r="U175" s="37" t="e">
        <f t="shared" ca="1" si="57"/>
        <v>#N/A</v>
      </c>
      <c r="V175" s="44" t="e">
        <f t="shared" ca="1" si="58"/>
        <v>#N/A</v>
      </c>
    </row>
    <row r="176" spans="2:22">
      <c r="B176" s="38">
        <v>157</v>
      </c>
      <c r="C176" s="77" t="e">
        <f t="shared" ca="1" si="59"/>
        <v>#N/A</v>
      </c>
      <c r="D176" s="78" t="e">
        <f ca="1">+IF(AND(B176&lt;$G$7),VLOOKUP($B$1,Inventory!$A$1:$BC$500,35,FALSE),IF(AND(B176=$G$7,pmt_timing="End"),VLOOKUP($B$1,Inventory!$A$1:$BC$500,35,FALSE),0))</f>
        <v>#N/A</v>
      </c>
      <c r="E176" s="78">
        <v>0</v>
      </c>
      <c r="F176" s="78">
        <v>0</v>
      </c>
      <c r="G176" s="78">
        <v>0</v>
      </c>
      <c r="H176" s="78">
        <v>0</v>
      </c>
      <c r="I176" s="78">
        <v>0</v>
      </c>
      <c r="J176" s="78">
        <v>0</v>
      </c>
      <c r="K176" s="78">
        <v>0</v>
      </c>
      <c r="L176" s="36" t="e">
        <f t="shared" ca="1" si="54"/>
        <v>#N/A</v>
      </c>
      <c r="M176" s="37" t="e">
        <f t="shared" ca="1" si="52"/>
        <v>#N/A</v>
      </c>
      <c r="N176" s="37" t="e">
        <f t="shared" ca="1" si="53"/>
        <v>#N/A</v>
      </c>
      <c r="P176" s="35" t="e">
        <f t="shared" ca="1" si="60"/>
        <v>#N/A</v>
      </c>
      <c r="Q176" s="59" t="e">
        <f t="shared" ca="1" si="55"/>
        <v>#N/A</v>
      </c>
      <c r="R176" s="44" t="e">
        <f t="shared" ca="1" si="56"/>
        <v>#N/A</v>
      </c>
      <c r="S176" s="37" t="e">
        <f ca="1">IF(P176="","",IF(P176="Total",SUM($S$19:S175),VLOOKUP($P176,$B$12:$L230,11,FALSE)))</f>
        <v>#N/A</v>
      </c>
      <c r="T176" s="44" t="e">
        <f ca="1">IF(payfreq="Annually",IF(P176="","",IF(P176="Total",SUM($T$19:T175),Adj_Rate*$R176)),IF(payfreq="Semiannually",IF(P176="","",IF(P176="Total",SUM($T$19:T175),Adj_Rate/2*$R176)),IF(payfreq="Quarterly",IF(P176="","",IF(P176="Total",SUM($T$19:T175),Adj_Rate/4*$R176)),IF(payfreq="Monthly",IF(P176="","",IF(P176="Total",SUM($T$19:T175),Adj_Rate/12*$R176)),""))))</f>
        <v>#N/A</v>
      </c>
      <c r="U176" s="37" t="e">
        <f t="shared" ca="1" si="57"/>
        <v>#N/A</v>
      </c>
      <c r="V176" s="44" t="e">
        <f t="shared" ca="1" si="58"/>
        <v>#N/A</v>
      </c>
    </row>
    <row r="177" spans="2:22">
      <c r="B177" s="38">
        <v>158</v>
      </c>
      <c r="C177" s="77" t="e">
        <f t="shared" ca="1" si="59"/>
        <v>#N/A</v>
      </c>
      <c r="D177" s="78" t="e">
        <f ca="1">+IF(AND(B177&lt;$G$7),VLOOKUP($B$1,Inventory!$A$1:$BC$500,35,FALSE),IF(AND(B177=$G$7,pmt_timing="End"),VLOOKUP($B$1,Inventory!$A$1:$BC$500,35,FALSE),0))</f>
        <v>#N/A</v>
      </c>
      <c r="E177" s="78">
        <v>0</v>
      </c>
      <c r="F177" s="78">
        <v>0</v>
      </c>
      <c r="G177" s="78">
        <v>0</v>
      </c>
      <c r="H177" s="78">
        <v>0</v>
      </c>
      <c r="I177" s="78">
        <v>0</v>
      </c>
      <c r="J177" s="78">
        <v>0</v>
      </c>
      <c r="K177" s="78">
        <v>0</v>
      </c>
      <c r="L177" s="36" t="e">
        <f t="shared" ca="1" si="54"/>
        <v>#N/A</v>
      </c>
      <c r="M177" s="37" t="e">
        <f t="shared" ca="1" si="52"/>
        <v>#N/A</v>
      </c>
      <c r="N177" s="37" t="e">
        <f t="shared" ca="1" si="53"/>
        <v>#N/A</v>
      </c>
      <c r="P177" s="35" t="e">
        <f t="shared" ca="1" si="60"/>
        <v>#N/A</v>
      </c>
      <c r="Q177" s="59" t="e">
        <f t="shared" ca="1" si="55"/>
        <v>#N/A</v>
      </c>
      <c r="R177" s="44" t="e">
        <f t="shared" ca="1" si="56"/>
        <v>#N/A</v>
      </c>
      <c r="S177" s="37" t="e">
        <f ca="1">IF(P177="","",IF(P177="Total",SUM($S$19:S176),VLOOKUP($P177,$B$12:$L231,11,FALSE)))</f>
        <v>#N/A</v>
      </c>
      <c r="T177" s="44" t="e">
        <f ca="1">IF(payfreq="Annually",IF(P177="","",IF(P177="Total",SUM($T$19:T176),Adj_Rate*$R177)),IF(payfreq="Semiannually",IF(P177="","",IF(P177="Total",SUM($T$19:T176),Adj_Rate/2*$R177)),IF(payfreq="Quarterly",IF(P177="","",IF(P177="Total",SUM($T$19:T176),Adj_Rate/4*$R177)),IF(payfreq="Monthly",IF(P177="","",IF(P177="Total",SUM($T$19:T176),Adj_Rate/12*$R177)),""))))</f>
        <v>#N/A</v>
      </c>
      <c r="U177" s="37" t="e">
        <f t="shared" ca="1" si="57"/>
        <v>#N/A</v>
      </c>
      <c r="V177" s="44" t="e">
        <f t="shared" ca="1" si="58"/>
        <v>#N/A</v>
      </c>
    </row>
    <row r="178" spans="2:22">
      <c r="B178" s="38">
        <v>159</v>
      </c>
      <c r="C178" s="77" t="e">
        <f t="shared" ca="1" si="59"/>
        <v>#N/A</v>
      </c>
      <c r="D178" s="78" t="e">
        <f ca="1">+IF(AND(B178&lt;$G$7),VLOOKUP($B$1,Inventory!$A$1:$BC$500,35,FALSE),IF(AND(B178=$G$7,pmt_timing="End"),VLOOKUP($B$1,Inventory!$A$1:$BC$500,35,FALSE),0))</f>
        <v>#N/A</v>
      </c>
      <c r="E178" s="78">
        <v>0</v>
      </c>
      <c r="F178" s="78">
        <v>0</v>
      </c>
      <c r="G178" s="78">
        <v>0</v>
      </c>
      <c r="H178" s="78">
        <v>0</v>
      </c>
      <c r="I178" s="78">
        <v>0</v>
      </c>
      <c r="J178" s="78">
        <v>0</v>
      </c>
      <c r="K178" s="78">
        <v>0</v>
      </c>
      <c r="L178" s="36" t="e">
        <f t="shared" ca="1" si="54"/>
        <v>#N/A</v>
      </c>
      <c r="M178" s="37" t="e">
        <f t="shared" ca="1" si="52"/>
        <v>#N/A</v>
      </c>
      <c r="N178" s="37" t="e">
        <f t="shared" ca="1" si="53"/>
        <v>#N/A</v>
      </c>
      <c r="P178" s="35" t="e">
        <f t="shared" ca="1" si="60"/>
        <v>#N/A</v>
      </c>
      <c r="Q178" s="59" t="e">
        <f t="shared" ca="1" si="55"/>
        <v>#N/A</v>
      </c>
      <c r="R178" s="44" t="e">
        <f t="shared" ca="1" si="56"/>
        <v>#N/A</v>
      </c>
      <c r="S178" s="37" t="e">
        <f ca="1">IF(P178="","",IF(P178="Total",SUM($S$19:S177),VLOOKUP($P178,$B$12:$L232,11,FALSE)))</f>
        <v>#N/A</v>
      </c>
      <c r="T178" s="44" t="e">
        <f ca="1">IF(payfreq="Annually",IF(P178="","",IF(P178="Total",SUM($T$19:T177),Adj_Rate*$R178)),IF(payfreq="Semiannually",IF(P178="","",IF(P178="Total",SUM($T$19:T177),Adj_Rate/2*$R178)),IF(payfreq="Quarterly",IF(P178="","",IF(P178="Total",SUM($T$19:T177),Adj_Rate/4*$R178)),IF(payfreq="Monthly",IF(P178="","",IF(P178="Total",SUM($T$19:T177),Adj_Rate/12*$R178)),""))))</f>
        <v>#N/A</v>
      </c>
      <c r="U178" s="37" t="e">
        <f t="shared" ca="1" si="57"/>
        <v>#N/A</v>
      </c>
      <c r="V178" s="44" t="e">
        <f t="shared" ca="1" si="58"/>
        <v>#N/A</v>
      </c>
    </row>
    <row r="179" spans="2:22">
      <c r="B179" s="38">
        <v>160</v>
      </c>
      <c r="C179" s="77" t="e">
        <f t="shared" ca="1" si="59"/>
        <v>#N/A</v>
      </c>
      <c r="D179" s="78" t="e">
        <f ca="1">+IF(AND(B179&lt;$G$7),VLOOKUP($B$1,Inventory!$A$1:$BC$500,35,FALSE),IF(AND(B179=$G$7,pmt_timing="End"),VLOOKUP($B$1,Inventory!$A$1:$BC$500,35,FALSE),0))</f>
        <v>#N/A</v>
      </c>
      <c r="E179" s="78">
        <v>0</v>
      </c>
      <c r="F179" s="78">
        <v>0</v>
      </c>
      <c r="G179" s="78">
        <v>0</v>
      </c>
      <c r="H179" s="78">
        <v>0</v>
      </c>
      <c r="I179" s="78">
        <v>0</v>
      </c>
      <c r="J179" s="78">
        <v>0</v>
      </c>
      <c r="K179" s="78">
        <v>0</v>
      </c>
      <c r="L179" s="36" t="e">
        <f t="shared" ca="1" si="54"/>
        <v>#N/A</v>
      </c>
      <c r="M179" s="37" t="e">
        <f t="shared" ca="1" si="52"/>
        <v>#N/A</v>
      </c>
      <c r="N179" s="37" t="e">
        <f t="shared" ca="1" si="53"/>
        <v>#N/A</v>
      </c>
      <c r="P179" s="35" t="e">
        <f t="shared" ca="1" si="60"/>
        <v>#N/A</v>
      </c>
      <c r="Q179" s="59" t="e">
        <f t="shared" ca="1" si="55"/>
        <v>#N/A</v>
      </c>
      <c r="R179" s="44" t="e">
        <f t="shared" ca="1" si="56"/>
        <v>#N/A</v>
      </c>
      <c r="S179" s="37" t="e">
        <f ca="1">IF(P179="","",IF(P179="Total",SUM($S$19:S178),VLOOKUP($P179,$B$12:$L233,11,FALSE)))</f>
        <v>#N/A</v>
      </c>
      <c r="T179" s="44" t="e">
        <f ca="1">IF(payfreq="Annually",IF(P179="","",IF(P179="Total",SUM($T$19:T178),Adj_Rate*$R179)),IF(payfreq="Semiannually",IF(P179="","",IF(P179="Total",SUM($T$19:T178),Adj_Rate/2*$R179)),IF(payfreq="Quarterly",IF(P179="","",IF(P179="Total",SUM($T$19:T178),Adj_Rate/4*$R179)),IF(payfreq="Monthly",IF(P179="","",IF(P179="Total",SUM($T$19:T178),Adj_Rate/12*$R179)),""))))</f>
        <v>#N/A</v>
      </c>
      <c r="U179" s="37" t="e">
        <f t="shared" ca="1" si="57"/>
        <v>#N/A</v>
      </c>
      <c r="V179" s="44" t="e">
        <f t="shared" ca="1" si="58"/>
        <v>#N/A</v>
      </c>
    </row>
    <row r="180" spans="2:22">
      <c r="B180" s="38">
        <v>161</v>
      </c>
      <c r="C180" s="77" t="e">
        <f t="shared" ca="1" si="59"/>
        <v>#N/A</v>
      </c>
      <c r="D180" s="78" t="e">
        <f ca="1">+IF(AND(B180&lt;$G$7),VLOOKUP($B$1,Inventory!$A$1:$BC$500,35,FALSE),IF(AND(B180=$G$7,pmt_timing="End"),VLOOKUP($B$1,Inventory!$A$1:$BC$500,35,FALSE),0))</f>
        <v>#N/A</v>
      </c>
      <c r="E180" s="78">
        <v>0</v>
      </c>
      <c r="F180" s="78">
        <v>0</v>
      </c>
      <c r="G180" s="78">
        <v>0</v>
      </c>
      <c r="H180" s="78">
        <v>0</v>
      </c>
      <c r="I180" s="78">
        <v>0</v>
      </c>
      <c r="J180" s="78">
        <v>0</v>
      </c>
      <c r="K180" s="78">
        <v>0</v>
      </c>
      <c r="L180" s="36" t="e">
        <f t="shared" ca="1" si="54"/>
        <v>#N/A</v>
      </c>
      <c r="M180" s="37" t="e">
        <f t="shared" ca="1" si="52"/>
        <v>#N/A</v>
      </c>
      <c r="N180" s="37" t="e">
        <f t="shared" ca="1" si="53"/>
        <v>#N/A</v>
      </c>
      <c r="P180" s="35" t="e">
        <f t="shared" ca="1" si="60"/>
        <v>#N/A</v>
      </c>
      <c r="Q180" s="59" t="e">
        <f t="shared" ca="1" si="55"/>
        <v>#N/A</v>
      </c>
      <c r="R180" s="44" t="e">
        <f t="shared" ca="1" si="56"/>
        <v>#N/A</v>
      </c>
      <c r="S180" s="37" t="e">
        <f ca="1">IF(P180="","",IF(P180="Total",SUM($S$19:S179),VLOOKUP($P180,$B$12:$L234,11,FALSE)))</f>
        <v>#N/A</v>
      </c>
      <c r="T180" s="44" t="e">
        <f ca="1">IF(payfreq="Annually",IF(P180="","",IF(P180="Total",SUM($T$19:T179),Adj_Rate*$R180)),IF(payfreq="Semiannually",IF(P180="","",IF(P180="Total",SUM($T$19:T179),Adj_Rate/2*$R180)),IF(payfreq="Quarterly",IF(P180="","",IF(P180="Total",SUM($T$19:T179),Adj_Rate/4*$R180)),IF(payfreq="Monthly",IF(P180="","",IF(P180="Total",SUM($T$19:T179),Adj_Rate/12*$R180)),""))))</f>
        <v>#N/A</v>
      </c>
      <c r="U180" s="37" t="e">
        <f t="shared" ca="1" si="57"/>
        <v>#N/A</v>
      </c>
      <c r="V180" s="44" t="e">
        <f t="shared" ca="1" si="58"/>
        <v>#N/A</v>
      </c>
    </row>
    <row r="181" spans="2:22">
      <c r="B181" s="38">
        <v>162</v>
      </c>
      <c r="C181" s="77" t="e">
        <f t="shared" ca="1" si="59"/>
        <v>#N/A</v>
      </c>
      <c r="D181" s="78" t="e">
        <f ca="1">+IF(AND(B181&lt;$G$7),VLOOKUP($B$1,Inventory!$A$1:$BC$500,35,FALSE),IF(AND(B181=$G$7,pmt_timing="End"),VLOOKUP($B$1,Inventory!$A$1:$BC$500,35,FALSE),0))</f>
        <v>#N/A</v>
      </c>
      <c r="E181" s="78">
        <v>0</v>
      </c>
      <c r="F181" s="78">
        <v>0</v>
      </c>
      <c r="G181" s="78">
        <v>0</v>
      </c>
      <c r="H181" s="78">
        <v>0</v>
      </c>
      <c r="I181" s="78">
        <v>0</v>
      </c>
      <c r="J181" s="78">
        <v>0</v>
      </c>
      <c r="K181" s="78">
        <v>0</v>
      </c>
      <c r="L181" s="36" t="e">
        <f t="shared" ca="1" si="54"/>
        <v>#N/A</v>
      </c>
      <c r="M181" s="37" t="e">
        <f t="shared" ca="1" si="52"/>
        <v>#N/A</v>
      </c>
      <c r="N181" s="37" t="e">
        <f t="shared" ca="1" si="53"/>
        <v>#N/A</v>
      </c>
      <c r="P181" s="35" t="e">
        <f t="shared" ca="1" si="60"/>
        <v>#N/A</v>
      </c>
      <c r="Q181" s="59" t="e">
        <f t="shared" ca="1" si="55"/>
        <v>#N/A</v>
      </c>
      <c r="R181" s="44" t="e">
        <f t="shared" ca="1" si="56"/>
        <v>#N/A</v>
      </c>
      <c r="S181" s="37" t="e">
        <f ca="1">IF(P181="","",IF(P181="Total",SUM($S$19:S180),VLOOKUP($P181,$B$12:$L235,11,FALSE)))</f>
        <v>#N/A</v>
      </c>
      <c r="T181" s="44" t="e">
        <f ca="1">IF(payfreq="Annually",IF(P181="","",IF(P181="Total",SUM($T$19:T180),Adj_Rate*$R181)),IF(payfreq="Semiannually",IF(P181="","",IF(P181="Total",SUM($T$19:T180),Adj_Rate/2*$R181)),IF(payfreq="Quarterly",IF(P181="","",IF(P181="Total",SUM($T$19:T180),Adj_Rate/4*$R181)),IF(payfreq="Monthly",IF(P181="","",IF(P181="Total",SUM($T$19:T180),Adj_Rate/12*$R181)),""))))</f>
        <v>#N/A</v>
      </c>
      <c r="U181" s="37" t="e">
        <f t="shared" ca="1" si="57"/>
        <v>#N/A</v>
      </c>
      <c r="V181" s="44" t="e">
        <f t="shared" ca="1" si="58"/>
        <v>#N/A</v>
      </c>
    </row>
    <row r="182" spans="2:22">
      <c r="B182" s="38">
        <v>163</v>
      </c>
      <c r="C182" s="77" t="e">
        <f t="shared" ca="1" si="59"/>
        <v>#N/A</v>
      </c>
      <c r="D182" s="78" t="e">
        <f ca="1">+IF(AND(B182&lt;$G$7),VLOOKUP($B$1,Inventory!$A$1:$BC$500,35,FALSE),IF(AND(B182=$G$7,pmt_timing="End"),VLOOKUP($B$1,Inventory!$A$1:$BC$500,35,FALSE),0))</f>
        <v>#N/A</v>
      </c>
      <c r="E182" s="78">
        <v>0</v>
      </c>
      <c r="F182" s="78">
        <v>0</v>
      </c>
      <c r="G182" s="78">
        <v>0</v>
      </c>
      <c r="H182" s="78">
        <v>0</v>
      </c>
      <c r="I182" s="78">
        <v>0</v>
      </c>
      <c r="J182" s="78">
        <v>0</v>
      </c>
      <c r="K182" s="78">
        <v>0</v>
      </c>
      <c r="L182" s="36" t="e">
        <f t="shared" ca="1" si="54"/>
        <v>#N/A</v>
      </c>
      <c r="M182" s="37" t="e">
        <f t="shared" ca="1" si="52"/>
        <v>#N/A</v>
      </c>
      <c r="N182" s="37" t="e">
        <f t="shared" ca="1" si="53"/>
        <v>#N/A</v>
      </c>
      <c r="P182" s="35" t="e">
        <f t="shared" ca="1" si="60"/>
        <v>#N/A</v>
      </c>
      <c r="Q182" s="59" t="e">
        <f t="shared" ca="1" si="55"/>
        <v>#N/A</v>
      </c>
      <c r="R182" s="44" t="e">
        <f t="shared" ca="1" si="56"/>
        <v>#N/A</v>
      </c>
      <c r="S182" s="37" t="e">
        <f ca="1">IF(P182="","",IF(P182="Total",SUM($S$19:S181),VLOOKUP($P182,$B$12:$L236,11,FALSE)))</f>
        <v>#N/A</v>
      </c>
      <c r="T182" s="44" t="e">
        <f ca="1">IF(payfreq="Annually",IF(P182="","",IF(P182="Total",SUM($T$19:T181),Adj_Rate*$R182)),IF(payfreq="Semiannually",IF(P182="","",IF(P182="Total",SUM($T$19:T181),Adj_Rate/2*$R182)),IF(payfreq="Quarterly",IF(P182="","",IF(P182="Total",SUM($T$19:T181),Adj_Rate/4*$R182)),IF(payfreq="Monthly",IF(P182="","",IF(P182="Total",SUM($T$19:T181),Adj_Rate/12*$R182)),""))))</f>
        <v>#N/A</v>
      </c>
      <c r="U182" s="37" t="e">
        <f t="shared" ca="1" si="57"/>
        <v>#N/A</v>
      </c>
      <c r="V182" s="44" t="e">
        <f t="shared" ca="1" si="58"/>
        <v>#N/A</v>
      </c>
    </row>
    <row r="183" spans="2:22">
      <c r="B183" s="38">
        <v>164</v>
      </c>
      <c r="C183" s="77" t="e">
        <f t="shared" ca="1" si="59"/>
        <v>#N/A</v>
      </c>
      <c r="D183" s="78" t="e">
        <f ca="1">+IF(AND(B183&lt;$G$7),VLOOKUP($B$1,Inventory!$A$1:$BC$500,35,FALSE),IF(AND(B183=$G$7,pmt_timing="End"),VLOOKUP($B$1,Inventory!$A$1:$BC$500,35,FALSE),0))</f>
        <v>#N/A</v>
      </c>
      <c r="E183" s="78">
        <v>0</v>
      </c>
      <c r="F183" s="78">
        <v>0</v>
      </c>
      <c r="G183" s="78">
        <v>0</v>
      </c>
      <c r="H183" s="78">
        <v>0</v>
      </c>
      <c r="I183" s="78">
        <v>0</v>
      </c>
      <c r="J183" s="78">
        <v>0</v>
      </c>
      <c r="K183" s="78">
        <v>0</v>
      </c>
      <c r="L183" s="36" t="e">
        <f t="shared" ca="1" si="54"/>
        <v>#N/A</v>
      </c>
      <c r="M183" s="37" t="e">
        <f t="shared" ca="1" si="52"/>
        <v>#N/A</v>
      </c>
      <c r="N183" s="37" t="e">
        <f t="shared" ca="1" si="53"/>
        <v>#N/A</v>
      </c>
      <c r="P183" s="35" t="e">
        <f t="shared" ca="1" si="60"/>
        <v>#N/A</v>
      </c>
      <c r="Q183" s="59" t="e">
        <f t="shared" ca="1" si="55"/>
        <v>#N/A</v>
      </c>
      <c r="R183" s="44" t="e">
        <f t="shared" ca="1" si="56"/>
        <v>#N/A</v>
      </c>
      <c r="S183" s="37" t="e">
        <f ca="1">IF(P183="","",IF(P183="Total",SUM($S$19:S182),VLOOKUP($P183,$B$12:$L237,11,FALSE)))</f>
        <v>#N/A</v>
      </c>
      <c r="T183" s="44" t="e">
        <f ca="1">IF(payfreq="Annually",IF(P183="","",IF(P183="Total",SUM($T$19:T182),Adj_Rate*$R183)),IF(payfreq="Semiannually",IF(P183="","",IF(P183="Total",SUM($T$19:T182),Adj_Rate/2*$R183)),IF(payfreq="Quarterly",IF(P183="","",IF(P183="Total",SUM($T$19:T182),Adj_Rate/4*$R183)),IF(payfreq="Monthly",IF(P183="","",IF(P183="Total",SUM($T$19:T182),Adj_Rate/12*$R183)),""))))</f>
        <v>#N/A</v>
      </c>
      <c r="U183" s="37" t="e">
        <f t="shared" ca="1" si="57"/>
        <v>#N/A</v>
      </c>
      <c r="V183" s="44" t="e">
        <f t="shared" ca="1" si="58"/>
        <v>#N/A</v>
      </c>
    </row>
    <row r="184" spans="2:22">
      <c r="B184" s="38">
        <v>165</v>
      </c>
      <c r="C184" s="77" t="e">
        <f t="shared" ca="1" si="59"/>
        <v>#N/A</v>
      </c>
      <c r="D184" s="78" t="e">
        <f ca="1">+IF(AND(B184&lt;$G$7),VLOOKUP($B$1,Inventory!$A$1:$BC$500,35,FALSE),IF(AND(B184=$G$7,pmt_timing="End"),VLOOKUP($B$1,Inventory!$A$1:$BC$500,35,FALSE),0))</f>
        <v>#N/A</v>
      </c>
      <c r="E184" s="78">
        <v>0</v>
      </c>
      <c r="F184" s="78">
        <v>0</v>
      </c>
      <c r="G184" s="78">
        <v>0</v>
      </c>
      <c r="H184" s="78">
        <v>0</v>
      </c>
      <c r="I184" s="78">
        <v>0</v>
      </c>
      <c r="J184" s="78">
        <v>0</v>
      </c>
      <c r="K184" s="78">
        <v>0</v>
      </c>
      <c r="L184" s="36" t="e">
        <f t="shared" ca="1" si="54"/>
        <v>#N/A</v>
      </c>
      <c r="M184" s="37" t="e">
        <f t="shared" ca="1" si="52"/>
        <v>#N/A</v>
      </c>
      <c r="N184" s="37" t="e">
        <f t="shared" ca="1" si="53"/>
        <v>#N/A</v>
      </c>
      <c r="P184" s="35" t="e">
        <f t="shared" ca="1" si="60"/>
        <v>#N/A</v>
      </c>
      <c r="Q184" s="59" t="e">
        <f t="shared" ca="1" si="55"/>
        <v>#N/A</v>
      </c>
      <c r="R184" s="44" t="e">
        <f t="shared" ca="1" si="56"/>
        <v>#N/A</v>
      </c>
      <c r="S184" s="37" t="e">
        <f ca="1">IF(P184="","",IF(P184="Total",SUM($S$19:S183),VLOOKUP($P184,$B$12:$L238,11,FALSE)))</f>
        <v>#N/A</v>
      </c>
      <c r="T184" s="44" t="e">
        <f ca="1">IF(payfreq="Annually",IF(P184="","",IF(P184="Total",SUM($T$19:T183),Adj_Rate*$R184)),IF(payfreq="Semiannually",IF(P184="","",IF(P184="Total",SUM($T$19:T183),Adj_Rate/2*$R184)),IF(payfreq="Quarterly",IF(P184="","",IF(P184="Total",SUM($T$19:T183),Adj_Rate/4*$R184)),IF(payfreq="Monthly",IF(P184="","",IF(P184="Total",SUM($T$19:T183),Adj_Rate/12*$R184)),""))))</f>
        <v>#N/A</v>
      </c>
      <c r="U184" s="37" t="e">
        <f t="shared" ca="1" si="57"/>
        <v>#N/A</v>
      </c>
      <c r="V184" s="44" t="e">
        <f t="shared" ca="1" si="58"/>
        <v>#N/A</v>
      </c>
    </row>
    <row r="185" spans="2:22">
      <c r="B185" s="38">
        <v>166</v>
      </c>
      <c r="C185" s="77" t="e">
        <f t="shared" ca="1" si="59"/>
        <v>#N/A</v>
      </c>
      <c r="D185" s="78" t="e">
        <f ca="1">+IF(AND(B185&lt;$G$7),VLOOKUP($B$1,Inventory!$A$1:$BC$500,35,FALSE),IF(AND(B185=$G$7,pmt_timing="End"),VLOOKUP($B$1,Inventory!$A$1:$BC$500,35,FALSE),0))</f>
        <v>#N/A</v>
      </c>
      <c r="E185" s="78">
        <v>0</v>
      </c>
      <c r="F185" s="78">
        <v>0</v>
      </c>
      <c r="G185" s="78">
        <v>0</v>
      </c>
      <c r="H185" s="78">
        <v>0</v>
      </c>
      <c r="I185" s="78">
        <v>0</v>
      </c>
      <c r="J185" s="78">
        <v>0</v>
      </c>
      <c r="K185" s="78">
        <v>0</v>
      </c>
      <c r="L185" s="36" t="e">
        <f t="shared" ca="1" si="54"/>
        <v>#N/A</v>
      </c>
      <c r="M185" s="37" t="e">
        <f t="shared" ca="1" si="52"/>
        <v>#N/A</v>
      </c>
      <c r="N185" s="37" t="e">
        <f t="shared" ca="1" si="53"/>
        <v>#N/A</v>
      </c>
      <c r="P185" s="35" t="e">
        <f t="shared" ca="1" si="60"/>
        <v>#N/A</v>
      </c>
      <c r="Q185" s="59" t="e">
        <f t="shared" ca="1" si="55"/>
        <v>#N/A</v>
      </c>
      <c r="R185" s="44" t="e">
        <f t="shared" ca="1" si="56"/>
        <v>#N/A</v>
      </c>
      <c r="S185" s="37" t="e">
        <f ca="1">IF(P185="","",IF(P185="Total",SUM($S$19:S184),VLOOKUP($P185,$B$12:$L239,11,FALSE)))</f>
        <v>#N/A</v>
      </c>
      <c r="T185" s="44" t="e">
        <f ca="1">IF(payfreq="Annually",IF(P185="","",IF(P185="Total",SUM($T$19:T184),Adj_Rate*$R185)),IF(payfreq="Semiannually",IF(P185="","",IF(P185="Total",SUM($T$19:T184),Adj_Rate/2*$R185)),IF(payfreq="Quarterly",IF(P185="","",IF(P185="Total",SUM($T$19:T184),Adj_Rate/4*$R185)),IF(payfreq="Monthly",IF(P185="","",IF(P185="Total",SUM($T$19:T184),Adj_Rate/12*$R185)),""))))</f>
        <v>#N/A</v>
      </c>
      <c r="U185" s="37" t="e">
        <f t="shared" ca="1" si="57"/>
        <v>#N/A</v>
      </c>
      <c r="V185" s="44" t="e">
        <f t="shared" ca="1" si="58"/>
        <v>#N/A</v>
      </c>
    </row>
    <row r="186" spans="2:22">
      <c r="B186" s="38">
        <v>167</v>
      </c>
      <c r="C186" s="77" t="e">
        <f t="shared" ca="1" si="59"/>
        <v>#N/A</v>
      </c>
      <c r="D186" s="78" t="e">
        <f ca="1">+IF(AND(B186&lt;$G$7),VLOOKUP($B$1,Inventory!$A$1:$BC$500,35,FALSE),IF(AND(B186=$G$7,pmt_timing="End"),VLOOKUP($B$1,Inventory!$A$1:$BC$500,35,FALSE),0))</f>
        <v>#N/A</v>
      </c>
      <c r="E186" s="78">
        <v>0</v>
      </c>
      <c r="F186" s="78">
        <v>0</v>
      </c>
      <c r="G186" s="78">
        <v>0</v>
      </c>
      <c r="H186" s="78">
        <v>0</v>
      </c>
      <c r="I186" s="78">
        <v>0</v>
      </c>
      <c r="J186" s="78">
        <v>0</v>
      </c>
      <c r="K186" s="78">
        <v>0</v>
      </c>
      <c r="L186" s="36" t="e">
        <f t="shared" ca="1" si="54"/>
        <v>#N/A</v>
      </c>
      <c r="M186" s="37" t="e">
        <f t="shared" ca="1" si="52"/>
        <v>#N/A</v>
      </c>
      <c r="N186" s="37" t="e">
        <f t="shared" ca="1" si="53"/>
        <v>#N/A</v>
      </c>
      <c r="P186" s="35" t="e">
        <f t="shared" ca="1" si="60"/>
        <v>#N/A</v>
      </c>
      <c r="Q186" s="59" t="e">
        <f t="shared" ca="1" si="55"/>
        <v>#N/A</v>
      </c>
      <c r="R186" s="44" t="e">
        <f t="shared" ca="1" si="56"/>
        <v>#N/A</v>
      </c>
      <c r="S186" s="37" t="e">
        <f ca="1">IF(P186="","",IF(P186="Total",SUM($S$19:S185),VLOOKUP($P186,$B$12:$L240,11,FALSE)))</f>
        <v>#N/A</v>
      </c>
      <c r="T186" s="44" t="e">
        <f ca="1">IF(payfreq="Annually",IF(P186="","",IF(P186="Total",SUM($T$19:T185),Adj_Rate*$R186)),IF(payfreq="Semiannually",IF(P186="","",IF(P186="Total",SUM($T$19:T185),Adj_Rate/2*$R186)),IF(payfreq="Quarterly",IF(P186="","",IF(P186="Total",SUM($T$19:T185),Adj_Rate/4*$R186)),IF(payfreq="Monthly",IF(P186="","",IF(P186="Total",SUM($T$19:T185),Adj_Rate/12*$R186)),""))))</f>
        <v>#N/A</v>
      </c>
      <c r="U186" s="37" t="e">
        <f t="shared" ca="1" si="57"/>
        <v>#N/A</v>
      </c>
      <c r="V186" s="44" t="e">
        <f t="shared" ca="1" si="58"/>
        <v>#N/A</v>
      </c>
    </row>
    <row r="187" spans="2:22">
      <c r="B187" s="38">
        <v>168</v>
      </c>
      <c r="C187" s="77" t="e">
        <f t="shared" ca="1" si="59"/>
        <v>#N/A</v>
      </c>
      <c r="D187" s="78" t="e">
        <f ca="1">+IF(AND(B187&lt;$G$7),VLOOKUP($B$1,Inventory!$A$1:$BC$500,35,FALSE),IF(AND(B187=$G$7,pmt_timing="End"),VLOOKUP($B$1,Inventory!$A$1:$BC$500,35,FALSE),0))</f>
        <v>#N/A</v>
      </c>
      <c r="E187" s="78">
        <v>0</v>
      </c>
      <c r="F187" s="78">
        <v>0</v>
      </c>
      <c r="G187" s="78">
        <v>0</v>
      </c>
      <c r="H187" s="78">
        <v>0</v>
      </c>
      <c r="I187" s="78">
        <v>0</v>
      </c>
      <c r="J187" s="78">
        <v>0</v>
      </c>
      <c r="K187" s="78">
        <v>0</v>
      </c>
      <c r="L187" s="36" t="e">
        <f t="shared" ca="1" si="54"/>
        <v>#N/A</v>
      </c>
      <c r="M187" s="37" t="e">
        <f t="shared" ca="1" si="52"/>
        <v>#N/A</v>
      </c>
      <c r="N187" s="37" t="e">
        <f t="shared" ca="1" si="53"/>
        <v>#N/A</v>
      </c>
      <c r="P187" s="35" t="e">
        <f t="shared" ca="1" si="60"/>
        <v>#N/A</v>
      </c>
      <c r="Q187" s="59" t="e">
        <f t="shared" ca="1" si="55"/>
        <v>#N/A</v>
      </c>
      <c r="R187" s="44" t="e">
        <f t="shared" ca="1" si="56"/>
        <v>#N/A</v>
      </c>
      <c r="S187" s="37" t="e">
        <f ca="1">IF(P187="","",IF(P187="Total",SUM($S$19:S186),VLOOKUP($P187,$B$12:$L241,11,FALSE)))</f>
        <v>#N/A</v>
      </c>
      <c r="T187" s="44" t="e">
        <f ca="1">IF(payfreq="Annually",IF(P187="","",IF(P187="Total",SUM($T$19:T186),Adj_Rate*$R187)),IF(payfreq="Semiannually",IF(P187="","",IF(P187="Total",SUM($T$19:T186),Adj_Rate/2*$R187)),IF(payfreq="Quarterly",IF(P187="","",IF(P187="Total",SUM($T$19:T186),Adj_Rate/4*$R187)),IF(payfreq="Monthly",IF(P187="","",IF(P187="Total",SUM($T$19:T186),Adj_Rate/12*$R187)),""))))</f>
        <v>#N/A</v>
      </c>
      <c r="U187" s="37" t="e">
        <f t="shared" ca="1" si="57"/>
        <v>#N/A</v>
      </c>
      <c r="V187" s="44" t="e">
        <f t="shared" ca="1" si="58"/>
        <v>#N/A</v>
      </c>
    </row>
    <row r="188" spans="2:22">
      <c r="B188" s="38">
        <v>169</v>
      </c>
      <c r="C188" s="77" t="e">
        <f t="shared" ca="1" si="59"/>
        <v>#N/A</v>
      </c>
      <c r="D188" s="78" t="e">
        <f ca="1">+IF(AND(B188&lt;$G$7),VLOOKUP($B$1,Inventory!$A$1:$BC$500,35,FALSE),IF(AND(B188=$G$7,pmt_timing="End"),VLOOKUP($B$1,Inventory!$A$1:$BC$500,35,FALSE),0))</f>
        <v>#N/A</v>
      </c>
      <c r="E188" s="78">
        <v>0</v>
      </c>
      <c r="F188" s="78">
        <v>0</v>
      </c>
      <c r="G188" s="78">
        <v>0</v>
      </c>
      <c r="H188" s="78">
        <v>0</v>
      </c>
      <c r="I188" s="78">
        <v>0</v>
      </c>
      <c r="J188" s="78">
        <v>0</v>
      </c>
      <c r="K188" s="78">
        <v>0</v>
      </c>
      <c r="L188" s="36" t="e">
        <f t="shared" ca="1" si="54"/>
        <v>#N/A</v>
      </c>
      <c r="M188" s="37" t="e">
        <f t="shared" ca="1" si="52"/>
        <v>#N/A</v>
      </c>
      <c r="N188" s="37" t="e">
        <f t="shared" ca="1" si="53"/>
        <v>#N/A</v>
      </c>
      <c r="P188" s="35" t="e">
        <f t="shared" ca="1" si="60"/>
        <v>#N/A</v>
      </c>
      <c r="Q188" s="59" t="e">
        <f t="shared" ca="1" si="55"/>
        <v>#N/A</v>
      </c>
      <c r="R188" s="44" t="e">
        <f t="shared" ca="1" si="56"/>
        <v>#N/A</v>
      </c>
      <c r="S188" s="37" t="e">
        <f ca="1">IF(P188="","",IF(P188="Total",SUM($S$19:S187),VLOOKUP($P188,$B$12:$L242,11,FALSE)))</f>
        <v>#N/A</v>
      </c>
      <c r="T188" s="44" t="e">
        <f ca="1">IF(payfreq="Annually",IF(P188="","",IF(P188="Total",SUM($T$19:T187),Adj_Rate*$R188)),IF(payfreq="Semiannually",IF(P188="","",IF(P188="Total",SUM($T$19:T187),Adj_Rate/2*$R188)),IF(payfreq="Quarterly",IF(P188="","",IF(P188="Total",SUM($T$19:T187),Adj_Rate/4*$R188)),IF(payfreq="Monthly",IF(P188="","",IF(P188="Total",SUM($T$19:T187),Adj_Rate/12*$R188)),""))))</f>
        <v>#N/A</v>
      </c>
      <c r="U188" s="37" t="e">
        <f t="shared" ca="1" si="57"/>
        <v>#N/A</v>
      </c>
      <c r="V188" s="44" t="e">
        <f t="shared" ca="1" si="58"/>
        <v>#N/A</v>
      </c>
    </row>
    <row r="189" spans="2:22">
      <c r="B189" s="38">
        <v>170</v>
      </c>
      <c r="C189" s="77" t="e">
        <f t="shared" ca="1" si="59"/>
        <v>#N/A</v>
      </c>
      <c r="D189" s="78" t="e">
        <f ca="1">+IF(AND(B189&lt;$G$7),VLOOKUP($B$1,Inventory!$A$1:$BC$500,35,FALSE),IF(AND(B189=$G$7,pmt_timing="End"),VLOOKUP($B$1,Inventory!$A$1:$BC$500,35,FALSE),0))</f>
        <v>#N/A</v>
      </c>
      <c r="E189" s="78">
        <v>0</v>
      </c>
      <c r="F189" s="78">
        <v>0</v>
      </c>
      <c r="G189" s="78">
        <v>0</v>
      </c>
      <c r="H189" s="78">
        <v>0</v>
      </c>
      <c r="I189" s="78">
        <v>0</v>
      </c>
      <c r="J189" s="78">
        <v>0</v>
      </c>
      <c r="K189" s="78">
        <v>0</v>
      </c>
      <c r="L189" s="36" t="e">
        <f t="shared" ca="1" si="54"/>
        <v>#N/A</v>
      </c>
      <c r="M189" s="37" t="e">
        <f t="shared" ca="1" si="52"/>
        <v>#N/A</v>
      </c>
      <c r="N189" s="37" t="e">
        <f t="shared" ca="1" si="53"/>
        <v>#N/A</v>
      </c>
      <c r="P189" s="35" t="e">
        <f t="shared" ca="1" si="60"/>
        <v>#N/A</v>
      </c>
      <c r="Q189" s="59" t="e">
        <f t="shared" ca="1" si="55"/>
        <v>#N/A</v>
      </c>
      <c r="R189" s="44" t="e">
        <f t="shared" ca="1" si="56"/>
        <v>#N/A</v>
      </c>
      <c r="S189" s="37" t="e">
        <f ca="1">IF(P189="","",IF(P189="Total",SUM($S$19:S188),VLOOKUP($P189,$B$12:$L243,11,FALSE)))</f>
        <v>#N/A</v>
      </c>
      <c r="T189" s="44" t="e">
        <f ca="1">IF(payfreq="Annually",IF(P189="","",IF(P189="Total",SUM($T$19:T188),Adj_Rate*$R189)),IF(payfreq="Semiannually",IF(P189="","",IF(P189="Total",SUM($T$19:T188),Adj_Rate/2*$R189)),IF(payfreq="Quarterly",IF(P189="","",IF(P189="Total",SUM($T$19:T188),Adj_Rate/4*$R189)),IF(payfreq="Monthly",IF(P189="","",IF(P189="Total",SUM($T$19:T188),Adj_Rate/12*$R189)),""))))</f>
        <v>#N/A</v>
      </c>
      <c r="U189" s="37" t="e">
        <f t="shared" ca="1" si="57"/>
        <v>#N/A</v>
      </c>
      <c r="V189" s="44" t="e">
        <f t="shared" ca="1" si="58"/>
        <v>#N/A</v>
      </c>
    </row>
    <row r="190" spans="2:22">
      <c r="B190" s="38">
        <v>171</v>
      </c>
      <c r="C190" s="77" t="e">
        <f t="shared" ca="1" si="59"/>
        <v>#N/A</v>
      </c>
      <c r="D190" s="78" t="e">
        <f ca="1">+IF(AND(B190&lt;$G$7),VLOOKUP($B$1,Inventory!$A$1:$BC$500,35,FALSE),IF(AND(B190=$G$7,pmt_timing="End"),VLOOKUP($B$1,Inventory!$A$1:$BC$500,35,FALSE),0))</f>
        <v>#N/A</v>
      </c>
      <c r="E190" s="78">
        <v>0</v>
      </c>
      <c r="F190" s="78">
        <v>0</v>
      </c>
      <c r="G190" s="78">
        <v>0</v>
      </c>
      <c r="H190" s="78">
        <v>0</v>
      </c>
      <c r="I190" s="78">
        <v>0</v>
      </c>
      <c r="J190" s="78">
        <v>0</v>
      </c>
      <c r="K190" s="78">
        <v>0</v>
      </c>
      <c r="L190" s="36" t="e">
        <f t="shared" ca="1" si="54"/>
        <v>#N/A</v>
      </c>
      <c r="M190" s="37" t="e">
        <f t="shared" ca="1" si="52"/>
        <v>#N/A</v>
      </c>
      <c r="N190" s="37" t="e">
        <f t="shared" ca="1" si="53"/>
        <v>#N/A</v>
      </c>
      <c r="P190" s="35" t="e">
        <f t="shared" ca="1" si="60"/>
        <v>#N/A</v>
      </c>
      <c r="Q190" s="59" t="e">
        <f t="shared" ca="1" si="55"/>
        <v>#N/A</v>
      </c>
      <c r="R190" s="44" t="e">
        <f t="shared" ca="1" si="56"/>
        <v>#N/A</v>
      </c>
      <c r="S190" s="37" t="e">
        <f ca="1">IF(P190="","",IF(P190="Total",SUM($S$19:S189),VLOOKUP($P190,$B$12:$L244,11,FALSE)))</f>
        <v>#N/A</v>
      </c>
      <c r="T190" s="44" t="e">
        <f ca="1">IF(payfreq="Annually",IF(P190="","",IF(P190="Total",SUM($T$19:T189),Adj_Rate*$R190)),IF(payfreq="Semiannually",IF(P190="","",IF(P190="Total",SUM($T$19:T189),Adj_Rate/2*$R190)),IF(payfreq="Quarterly",IF(P190="","",IF(P190="Total",SUM($T$19:T189),Adj_Rate/4*$R190)),IF(payfreq="Monthly",IF(P190="","",IF(P190="Total",SUM($T$19:T189),Adj_Rate/12*$R190)),""))))</f>
        <v>#N/A</v>
      </c>
      <c r="U190" s="37" t="e">
        <f t="shared" ca="1" si="57"/>
        <v>#N/A</v>
      </c>
      <c r="V190" s="44" t="e">
        <f t="shared" ca="1" si="58"/>
        <v>#N/A</v>
      </c>
    </row>
    <row r="191" spans="2:22">
      <c r="B191" s="38">
        <v>172</v>
      </c>
      <c r="C191" s="77" t="e">
        <f t="shared" ca="1" si="59"/>
        <v>#N/A</v>
      </c>
      <c r="D191" s="78" t="e">
        <f ca="1">+IF(AND(B191&lt;$G$7),VLOOKUP($B$1,Inventory!$A$1:$BC$500,35,FALSE),IF(AND(B191=$G$7,pmt_timing="End"),VLOOKUP($B$1,Inventory!$A$1:$BC$500,35,FALSE),0))</f>
        <v>#N/A</v>
      </c>
      <c r="E191" s="78">
        <v>0</v>
      </c>
      <c r="F191" s="78">
        <v>0</v>
      </c>
      <c r="G191" s="78">
        <v>0</v>
      </c>
      <c r="H191" s="78">
        <v>0</v>
      </c>
      <c r="I191" s="78">
        <v>0</v>
      </c>
      <c r="J191" s="78">
        <v>0</v>
      </c>
      <c r="K191" s="78">
        <v>0</v>
      </c>
      <c r="L191" s="36" t="e">
        <f t="shared" ca="1" si="54"/>
        <v>#N/A</v>
      </c>
      <c r="M191" s="37" t="e">
        <f t="shared" ca="1" si="52"/>
        <v>#N/A</v>
      </c>
      <c r="N191" s="37" t="e">
        <f t="shared" ca="1" si="53"/>
        <v>#N/A</v>
      </c>
      <c r="P191" s="35" t="e">
        <f t="shared" ca="1" si="60"/>
        <v>#N/A</v>
      </c>
      <c r="Q191" s="59" t="e">
        <f t="shared" ca="1" si="55"/>
        <v>#N/A</v>
      </c>
      <c r="R191" s="44" t="e">
        <f t="shared" ca="1" si="56"/>
        <v>#N/A</v>
      </c>
      <c r="S191" s="37" t="e">
        <f ca="1">IF(P191="","",IF(P191="Total",SUM($S$19:S190),VLOOKUP($P191,$B$12:$L245,11,FALSE)))</f>
        <v>#N/A</v>
      </c>
      <c r="T191" s="44" t="e">
        <f ca="1">IF(payfreq="Annually",IF(P191="","",IF(P191="Total",SUM($T$19:T190),Adj_Rate*$R191)),IF(payfreq="Semiannually",IF(P191="","",IF(P191="Total",SUM($T$19:T190),Adj_Rate/2*$R191)),IF(payfreq="Quarterly",IF(P191="","",IF(P191="Total",SUM($T$19:T190),Adj_Rate/4*$R191)),IF(payfreq="Monthly",IF(P191="","",IF(P191="Total",SUM($T$19:T190),Adj_Rate/12*$R191)),""))))</f>
        <v>#N/A</v>
      </c>
      <c r="U191" s="37" t="e">
        <f t="shared" ca="1" si="57"/>
        <v>#N/A</v>
      </c>
      <c r="V191" s="44" t="e">
        <f t="shared" ca="1" si="58"/>
        <v>#N/A</v>
      </c>
    </row>
    <row r="192" spans="2:22">
      <c r="B192" s="38">
        <v>173</v>
      </c>
      <c r="C192" s="77" t="e">
        <f t="shared" ca="1" si="59"/>
        <v>#N/A</v>
      </c>
      <c r="D192" s="78" t="e">
        <f ca="1">+IF(AND(B192&lt;$G$7),VLOOKUP($B$1,Inventory!$A$1:$BC$500,35,FALSE),IF(AND(B192=$G$7,pmt_timing="End"),VLOOKUP($B$1,Inventory!$A$1:$BC$500,35,FALSE),0))</f>
        <v>#N/A</v>
      </c>
      <c r="E192" s="78">
        <v>0</v>
      </c>
      <c r="F192" s="78">
        <v>0</v>
      </c>
      <c r="G192" s="78">
        <v>0</v>
      </c>
      <c r="H192" s="78">
        <v>0</v>
      </c>
      <c r="I192" s="78">
        <v>0</v>
      </c>
      <c r="J192" s="78">
        <v>0</v>
      </c>
      <c r="K192" s="78">
        <v>0</v>
      </c>
      <c r="L192" s="36" t="e">
        <f t="shared" ca="1" si="54"/>
        <v>#N/A</v>
      </c>
      <c r="M192" s="37" t="e">
        <f t="shared" ca="1" si="52"/>
        <v>#N/A</v>
      </c>
      <c r="N192" s="37" t="e">
        <f t="shared" ca="1" si="53"/>
        <v>#N/A</v>
      </c>
      <c r="P192" s="35" t="e">
        <f t="shared" ca="1" si="60"/>
        <v>#N/A</v>
      </c>
      <c r="Q192" s="59" t="e">
        <f t="shared" ca="1" si="55"/>
        <v>#N/A</v>
      </c>
      <c r="R192" s="44" t="e">
        <f t="shared" ca="1" si="56"/>
        <v>#N/A</v>
      </c>
      <c r="S192" s="37" t="e">
        <f ca="1">IF(P192="","",IF(P192="Total",SUM($S$19:S191),VLOOKUP($P192,$B$12:$L246,11,FALSE)))</f>
        <v>#N/A</v>
      </c>
      <c r="T192" s="44" t="e">
        <f ca="1">IF(payfreq="Annually",IF(P192="","",IF(P192="Total",SUM($T$19:T191),Adj_Rate*$R192)),IF(payfreq="Semiannually",IF(P192="","",IF(P192="Total",SUM($T$19:T191),Adj_Rate/2*$R192)),IF(payfreq="Quarterly",IF(P192="","",IF(P192="Total",SUM($T$19:T191),Adj_Rate/4*$R192)),IF(payfreq="Monthly",IF(P192="","",IF(P192="Total",SUM($T$19:T191),Adj_Rate/12*$R192)),""))))</f>
        <v>#N/A</v>
      </c>
      <c r="U192" s="37" t="e">
        <f t="shared" ca="1" si="57"/>
        <v>#N/A</v>
      </c>
      <c r="V192" s="44" t="e">
        <f t="shared" ca="1" si="58"/>
        <v>#N/A</v>
      </c>
    </row>
    <row r="193" spans="2:22">
      <c r="B193" s="38">
        <v>174</v>
      </c>
      <c r="C193" s="77" t="e">
        <f t="shared" ca="1" si="59"/>
        <v>#N/A</v>
      </c>
      <c r="D193" s="78" t="e">
        <f ca="1">+IF(AND(B193&lt;$G$7),VLOOKUP($B$1,Inventory!$A$1:$BC$500,35,FALSE),IF(AND(B193=$G$7,pmt_timing="End"),VLOOKUP($B$1,Inventory!$A$1:$BC$500,35,FALSE),0))</f>
        <v>#N/A</v>
      </c>
      <c r="E193" s="78">
        <v>0</v>
      </c>
      <c r="F193" s="78">
        <v>0</v>
      </c>
      <c r="G193" s="78">
        <v>0</v>
      </c>
      <c r="H193" s="78">
        <v>0</v>
      </c>
      <c r="I193" s="78">
        <v>0</v>
      </c>
      <c r="J193" s="78">
        <v>0</v>
      </c>
      <c r="K193" s="78">
        <v>0</v>
      </c>
      <c r="L193" s="36" t="e">
        <f t="shared" ca="1" si="54"/>
        <v>#N/A</v>
      </c>
      <c r="M193" s="37" t="e">
        <f t="shared" ca="1" si="52"/>
        <v>#N/A</v>
      </c>
      <c r="N193" s="37" t="e">
        <f t="shared" ca="1" si="53"/>
        <v>#N/A</v>
      </c>
      <c r="P193" s="35" t="e">
        <f t="shared" ca="1" si="60"/>
        <v>#N/A</v>
      </c>
      <c r="Q193" s="59" t="e">
        <f t="shared" ca="1" si="55"/>
        <v>#N/A</v>
      </c>
      <c r="R193" s="44" t="e">
        <f t="shared" ca="1" si="56"/>
        <v>#N/A</v>
      </c>
      <c r="S193" s="37" t="e">
        <f ca="1">IF(P193="","",IF(P193="Total",SUM($S$19:S192),VLOOKUP($P193,$B$12:$L247,11,FALSE)))</f>
        <v>#N/A</v>
      </c>
      <c r="T193" s="44" t="e">
        <f ca="1">IF(payfreq="Annually",IF(P193="","",IF(P193="Total",SUM($T$19:T192),Adj_Rate*$R193)),IF(payfreq="Semiannually",IF(P193="","",IF(P193="Total",SUM($T$19:T192),Adj_Rate/2*$R193)),IF(payfreq="Quarterly",IF(P193="","",IF(P193="Total",SUM($T$19:T192),Adj_Rate/4*$R193)),IF(payfreq="Monthly",IF(P193="","",IF(P193="Total",SUM($T$19:T192),Adj_Rate/12*$R193)),""))))</f>
        <v>#N/A</v>
      </c>
      <c r="U193" s="37" t="e">
        <f t="shared" ca="1" si="57"/>
        <v>#N/A</v>
      </c>
      <c r="V193" s="44" t="e">
        <f t="shared" ca="1" si="58"/>
        <v>#N/A</v>
      </c>
    </row>
    <row r="194" spans="2:22">
      <c r="B194" s="38">
        <v>175</v>
      </c>
      <c r="C194" s="77" t="e">
        <f t="shared" ca="1" si="59"/>
        <v>#N/A</v>
      </c>
      <c r="D194" s="78" t="e">
        <f ca="1">+IF(AND(B194&lt;$G$7),VLOOKUP($B$1,Inventory!$A$1:$BC$500,35,FALSE),IF(AND(B194=$G$7,pmt_timing="End"),VLOOKUP($B$1,Inventory!$A$1:$BC$500,35,FALSE),0))</f>
        <v>#N/A</v>
      </c>
      <c r="E194" s="78">
        <v>0</v>
      </c>
      <c r="F194" s="78">
        <v>0</v>
      </c>
      <c r="G194" s="78">
        <v>0</v>
      </c>
      <c r="H194" s="78">
        <v>0</v>
      </c>
      <c r="I194" s="78">
        <v>0</v>
      </c>
      <c r="J194" s="78">
        <v>0</v>
      </c>
      <c r="K194" s="78">
        <v>0</v>
      </c>
      <c r="L194" s="36" t="e">
        <f t="shared" ca="1" si="54"/>
        <v>#N/A</v>
      </c>
      <c r="M194" s="37" t="e">
        <f t="shared" ca="1" si="52"/>
        <v>#N/A</v>
      </c>
      <c r="N194" s="37" t="e">
        <f t="shared" ca="1" si="53"/>
        <v>#N/A</v>
      </c>
      <c r="P194" s="35" t="e">
        <f t="shared" ca="1" si="60"/>
        <v>#N/A</v>
      </c>
      <c r="Q194" s="59" t="e">
        <f t="shared" ca="1" si="55"/>
        <v>#N/A</v>
      </c>
      <c r="R194" s="44" t="e">
        <f t="shared" ca="1" si="56"/>
        <v>#N/A</v>
      </c>
      <c r="S194" s="37" t="e">
        <f ca="1">IF(P194="","",IF(P194="Total",SUM($S$19:S193),VLOOKUP($P194,$B$12:$L248,11,FALSE)))</f>
        <v>#N/A</v>
      </c>
      <c r="T194" s="44" t="e">
        <f ca="1">IF(payfreq="Annually",IF(P194="","",IF(P194="Total",SUM($T$19:T193),Adj_Rate*$R194)),IF(payfreq="Semiannually",IF(P194="","",IF(P194="Total",SUM($T$19:T193),Adj_Rate/2*$R194)),IF(payfreq="Quarterly",IF(P194="","",IF(P194="Total",SUM($T$19:T193),Adj_Rate/4*$R194)),IF(payfreq="Monthly",IF(P194="","",IF(P194="Total",SUM($T$19:T193),Adj_Rate/12*$R194)),""))))</f>
        <v>#N/A</v>
      </c>
      <c r="U194" s="37" t="e">
        <f t="shared" ca="1" si="57"/>
        <v>#N/A</v>
      </c>
      <c r="V194" s="44" t="e">
        <f t="shared" ca="1" si="58"/>
        <v>#N/A</v>
      </c>
    </row>
    <row r="195" spans="2:22">
      <c r="B195" s="38">
        <v>176</v>
      </c>
      <c r="C195" s="77" t="e">
        <f t="shared" ca="1" si="59"/>
        <v>#N/A</v>
      </c>
      <c r="D195" s="78" t="e">
        <f ca="1">+IF(AND(B195&lt;$G$7),VLOOKUP($B$1,Inventory!$A$1:$BC$500,35,FALSE),IF(AND(B195=$G$7,pmt_timing="End"),VLOOKUP($B$1,Inventory!$A$1:$BC$500,35,FALSE),0))</f>
        <v>#N/A</v>
      </c>
      <c r="E195" s="78">
        <v>0</v>
      </c>
      <c r="F195" s="78">
        <v>0</v>
      </c>
      <c r="G195" s="78">
        <v>0</v>
      </c>
      <c r="H195" s="78">
        <v>0</v>
      </c>
      <c r="I195" s="78">
        <v>0</v>
      </c>
      <c r="J195" s="78">
        <v>0</v>
      </c>
      <c r="K195" s="78">
        <v>0</v>
      </c>
      <c r="L195" s="36" t="e">
        <f t="shared" ca="1" si="54"/>
        <v>#N/A</v>
      </c>
      <c r="M195" s="37" t="e">
        <f t="shared" ca="1" si="52"/>
        <v>#N/A</v>
      </c>
      <c r="N195" s="37" t="e">
        <f t="shared" ca="1" si="53"/>
        <v>#N/A</v>
      </c>
      <c r="P195" s="35" t="e">
        <f t="shared" ca="1" si="60"/>
        <v>#N/A</v>
      </c>
      <c r="Q195" s="59" t="e">
        <f t="shared" ca="1" si="55"/>
        <v>#N/A</v>
      </c>
      <c r="R195" s="44" t="e">
        <f t="shared" ca="1" si="56"/>
        <v>#N/A</v>
      </c>
      <c r="S195" s="37" t="e">
        <f ca="1">IF(P195="","",IF(P195="Total",SUM($S$19:S194),VLOOKUP($P195,$B$12:$L249,11,FALSE)))</f>
        <v>#N/A</v>
      </c>
      <c r="T195" s="44" t="e">
        <f ca="1">IF(payfreq="Annually",IF(P195="","",IF(P195="Total",SUM($T$19:T194),Adj_Rate*$R195)),IF(payfreq="Semiannually",IF(P195="","",IF(P195="Total",SUM($T$19:T194),Adj_Rate/2*$R195)),IF(payfreq="Quarterly",IF(P195="","",IF(P195="Total",SUM($T$19:T194),Adj_Rate/4*$R195)),IF(payfreq="Monthly",IF(P195="","",IF(P195="Total",SUM($T$19:T194),Adj_Rate/12*$R195)),""))))</f>
        <v>#N/A</v>
      </c>
      <c r="U195" s="37" t="e">
        <f t="shared" ca="1" si="57"/>
        <v>#N/A</v>
      </c>
      <c r="V195" s="44" t="e">
        <f t="shared" ca="1" si="58"/>
        <v>#N/A</v>
      </c>
    </row>
    <row r="196" spans="2:22">
      <c r="B196" s="38">
        <v>177</v>
      </c>
      <c r="C196" s="77" t="e">
        <f t="shared" ca="1" si="59"/>
        <v>#N/A</v>
      </c>
      <c r="D196" s="78" t="e">
        <f ca="1">+IF(AND(B196&lt;$G$7),VLOOKUP($B$1,Inventory!$A$1:$BC$500,35,FALSE),IF(AND(B196=$G$7,pmt_timing="End"),VLOOKUP($B$1,Inventory!$A$1:$BC$500,35,FALSE),0))</f>
        <v>#N/A</v>
      </c>
      <c r="E196" s="78">
        <v>0</v>
      </c>
      <c r="F196" s="78">
        <v>0</v>
      </c>
      <c r="G196" s="78">
        <v>0</v>
      </c>
      <c r="H196" s="78">
        <v>0</v>
      </c>
      <c r="I196" s="78">
        <v>0</v>
      </c>
      <c r="J196" s="78">
        <v>0</v>
      </c>
      <c r="K196" s="78">
        <v>0</v>
      </c>
      <c r="L196" s="36" t="e">
        <f t="shared" ca="1" si="54"/>
        <v>#N/A</v>
      </c>
      <c r="M196" s="37" t="e">
        <f t="shared" ca="1" si="52"/>
        <v>#N/A</v>
      </c>
      <c r="N196" s="37" t="e">
        <f t="shared" ca="1" si="53"/>
        <v>#N/A</v>
      </c>
      <c r="P196" s="35" t="e">
        <f t="shared" ca="1" si="60"/>
        <v>#N/A</v>
      </c>
      <c r="Q196" s="59" t="e">
        <f t="shared" ca="1" si="55"/>
        <v>#N/A</v>
      </c>
      <c r="R196" s="44" t="e">
        <f t="shared" ca="1" si="56"/>
        <v>#N/A</v>
      </c>
      <c r="S196" s="37" t="e">
        <f ca="1">IF(P196="","",IF(P196="Total",SUM($S$19:S195),VLOOKUP($P196,$B$12:$L250,11,FALSE)))</f>
        <v>#N/A</v>
      </c>
      <c r="T196" s="44" t="e">
        <f ca="1">IF(payfreq="Annually",IF(P196="","",IF(P196="Total",SUM($T$19:T195),Adj_Rate*$R196)),IF(payfreq="Semiannually",IF(P196="","",IF(P196="Total",SUM($T$19:T195),Adj_Rate/2*$R196)),IF(payfreq="Quarterly",IF(P196="","",IF(P196="Total",SUM($T$19:T195),Adj_Rate/4*$R196)),IF(payfreq="Monthly",IF(P196="","",IF(P196="Total",SUM($T$19:T195),Adj_Rate/12*$R196)),""))))</f>
        <v>#N/A</v>
      </c>
      <c r="U196" s="37" t="e">
        <f t="shared" ca="1" si="57"/>
        <v>#N/A</v>
      </c>
      <c r="V196" s="44" t="e">
        <f t="shared" ca="1" si="58"/>
        <v>#N/A</v>
      </c>
    </row>
    <row r="197" spans="2:22">
      <c r="B197" s="38">
        <v>178</v>
      </c>
      <c r="C197" s="77" t="e">
        <f t="shared" ca="1" si="59"/>
        <v>#N/A</v>
      </c>
      <c r="D197" s="78" t="e">
        <f ca="1">+IF(AND(B197&lt;$G$7),VLOOKUP($B$1,Inventory!$A$1:$BC$500,35,FALSE),IF(AND(B197=$G$7,pmt_timing="End"),VLOOKUP($B$1,Inventory!$A$1:$BC$500,35,FALSE),0))</f>
        <v>#N/A</v>
      </c>
      <c r="E197" s="78">
        <v>0</v>
      </c>
      <c r="F197" s="78">
        <v>0</v>
      </c>
      <c r="G197" s="78">
        <v>0</v>
      </c>
      <c r="H197" s="78">
        <v>0</v>
      </c>
      <c r="I197" s="78">
        <v>0</v>
      </c>
      <c r="J197" s="78">
        <v>0</v>
      </c>
      <c r="K197" s="78">
        <v>0</v>
      </c>
      <c r="L197" s="36" t="e">
        <f t="shared" ca="1" si="54"/>
        <v>#N/A</v>
      </c>
      <c r="M197" s="37" t="e">
        <f t="shared" ca="1" si="52"/>
        <v>#N/A</v>
      </c>
      <c r="N197" s="37" t="e">
        <f t="shared" ca="1" si="53"/>
        <v>#N/A</v>
      </c>
      <c r="P197" s="35" t="e">
        <f t="shared" ca="1" si="60"/>
        <v>#N/A</v>
      </c>
      <c r="Q197" s="59" t="e">
        <f t="shared" ca="1" si="55"/>
        <v>#N/A</v>
      </c>
      <c r="R197" s="44" t="e">
        <f t="shared" ca="1" si="56"/>
        <v>#N/A</v>
      </c>
      <c r="S197" s="37" t="e">
        <f ca="1">IF(P197="","",IF(P197="Total",SUM($S$19:S196),VLOOKUP($P197,$B$12:$L251,11,FALSE)))</f>
        <v>#N/A</v>
      </c>
      <c r="T197" s="44" t="e">
        <f ca="1">IF(payfreq="Annually",IF(P197="","",IF(P197="Total",SUM($T$19:T196),Adj_Rate*$R197)),IF(payfreq="Semiannually",IF(P197="","",IF(P197="Total",SUM($T$19:T196),Adj_Rate/2*$R197)),IF(payfreq="Quarterly",IF(P197="","",IF(P197="Total",SUM($T$19:T196),Adj_Rate/4*$R197)),IF(payfreq="Monthly",IF(P197="","",IF(P197="Total",SUM($T$19:T196),Adj_Rate/12*$R197)),""))))</f>
        <v>#N/A</v>
      </c>
      <c r="U197" s="37" t="e">
        <f t="shared" ca="1" si="57"/>
        <v>#N/A</v>
      </c>
      <c r="V197" s="44" t="e">
        <f t="shared" ca="1" si="58"/>
        <v>#N/A</v>
      </c>
    </row>
    <row r="198" spans="2:22">
      <c r="B198" s="38">
        <v>179</v>
      </c>
      <c r="C198" s="77" t="e">
        <f t="shared" ca="1" si="59"/>
        <v>#N/A</v>
      </c>
      <c r="D198" s="78" t="e">
        <f ca="1">+IF(AND(B198&lt;$G$7),VLOOKUP($B$1,Inventory!$A$1:$BC$500,35,FALSE),IF(AND(B198=$G$7,pmt_timing="End"),VLOOKUP($B$1,Inventory!$A$1:$BC$500,35,FALSE),0))</f>
        <v>#N/A</v>
      </c>
      <c r="E198" s="78">
        <v>0</v>
      </c>
      <c r="F198" s="78">
        <v>0</v>
      </c>
      <c r="G198" s="78">
        <v>0</v>
      </c>
      <c r="H198" s="78">
        <v>0</v>
      </c>
      <c r="I198" s="78">
        <v>0</v>
      </c>
      <c r="J198" s="78">
        <v>0</v>
      </c>
      <c r="K198" s="78">
        <v>0</v>
      </c>
      <c r="L198" s="36" t="e">
        <f t="shared" ca="1" si="54"/>
        <v>#N/A</v>
      </c>
      <c r="M198" s="37" t="e">
        <f t="shared" ca="1" si="52"/>
        <v>#N/A</v>
      </c>
      <c r="N198" s="37" t="e">
        <f t="shared" ca="1" si="53"/>
        <v>#N/A</v>
      </c>
      <c r="P198" s="35" t="e">
        <f t="shared" ca="1" si="60"/>
        <v>#N/A</v>
      </c>
      <c r="Q198" s="59" t="e">
        <f t="shared" ca="1" si="55"/>
        <v>#N/A</v>
      </c>
      <c r="R198" s="44" t="e">
        <f t="shared" ca="1" si="56"/>
        <v>#N/A</v>
      </c>
      <c r="S198" s="37" t="e">
        <f ca="1">IF(P198="","",IF(P198="Total",SUM($S$19:S197),VLOOKUP($P198,$B$12:$L252,11,FALSE)))</f>
        <v>#N/A</v>
      </c>
      <c r="T198" s="44" t="e">
        <f ca="1">IF(payfreq="Annually",IF(P198="","",IF(P198="Total",SUM($T$19:T197),Adj_Rate*$R198)),IF(payfreq="Semiannually",IF(P198="","",IF(P198="Total",SUM($T$19:T197),Adj_Rate/2*$R198)),IF(payfreq="Quarterly",IF(P198="","",IF(P198="Total",SUM($T$19:T197),Adj_Rate/4*$R198)),IF(payfreq="Monthly",IF(P198="","",IF(P198="Total",SUM($T$19:T197),Adj_Rate/12*$R198)),""))))</f>
        <v>#N/A</v>
      </c>
      <c r="U198" s="37" t="e">
        <f t="shared" ca="1" si="57"/>
        <v>#N/A</v>
      </c>
      <c r="V198" s="44" t="e">
        <f t="shared" ca="1" si="58"/>
        <v>#N/A</v>
      </c>
    </row>
    <row r="199" spans="2:22">
      <c r="B199" s="38">
        <v>180</v>
      </c>
      <c r="C199" s="77" t="e">
        <f t="shared" ca="1" si="59"/>
        <v>#N/A</v>
      </c>
      <c r="D199" s="78" t="e">
        <f ca="1">+IF(AND(B199&lt;$G$7),VLOOKUP($B$1,Inventory!$A$1:$BC$500,35,FALSE),IF(AND(B199=$G$7,pmt_timing="End"),VLOOKUP($B$1,Inventory!$A$1:$BC$500,35,FALSE),0))</f>
        <v>#N/A</v>
      </c>
      <c r="E199" s="78">
        <v>0</v>
      </c>
      <c r="F199" s="78">
        <v>0</v>
      </c>
      <c r="G199" s="78">
        <v>0</v>
      </c>
      <c r="H199" s="78">
        <v>0</v>
      </c>
      <c r="I199" s="78">
        <v>0</v>
      </c>
      <c r="J199" s="78">
        <v>0</v>
      </c>
      <c r="K199" s="78">
        <v>0</v>
      </c>
      <c r="L199" s="36" t="e">
        <f t="shared" ca="1" si="54"/>
        <v>#N/A</v>
      </c>
      <c r="M199" s="37" t="e">
        <f t="shared" ca="1" si="52"/>
        <v>#N/A</v>
      </c>
      <c r="N199" s="37" t="e">
        <f t="shared" ca="1" si="53"/>
        <v>#N/A</v>
      </c>
      <c r="P199" s="35" t="e">
        <f t="shared" ca="1" si="60"/>
        <v>#N/A</v>
      </c>
      <c r="Q199" s="59" t="e">
        <f t="shared" ca="1" si="55"/>
        <v>#N/A</v>
      </c>
      <c r="R199" s="44" t="e">
        <f t="shared" ca="1" si="56"/>
        <v>#N/A</v>
      </c>
      <c r="S199" s="37" t="e">
        <f ca="1">IF(P199="","",IF(P199="Total",SUM($S$19:S198),VLOOKUP($P199,$B$12:$L253,11,FALSE)))</f>
        <v>#N/A</v>
      </c>
      <c r="T199" s="44" t="e">
        <f ca="1">IF(payfreq="Annually",IF(P199="","",IF(P199="Total",SUM($T$19:T198),Adj_Rate*$R199)),IF(payfreq="Semiannually",IF(P199="","",IF(P199="Total",SUM($T$19:T198),Adj_Rate/2*$R199)),IF(payfreq="Quarterly",IF(P199="","",IF(P199="Total",SUM($T$19:T198),Adj_Rate/4*$R199)),IF(payfreq="Monthly",IF(P199="","",IF(P199="Total",SUM($T$19:T198),Adj_Rate/12*$R199)),""))))</f>
        <v>#N/A</v>
      </c>
      <c r="U199" s="37" t="e">
        <f t="shared" ca="1" si="57"/>
        <v>#N/A</v>
      </c>
      <c r="V199" s="44" t="e">
        <f t="shared" ca="1" si="58"/>
        <v>#N/A</v>
      </c>
    </row>
    <row r="200" spans="2:22">
      <c r="B200" s="38">
        <v>181</v>
      </c>
      <c r="C200" s="77" t="e">
        <f t="shared" ca="1" si="59"/>
        <v>#N/A</v>
      </c>
      <c r="D200" s="78" t="e">
        <f ca="1">+IF(AND(B200&lt;$G$7),VLOOKUP($B$1,Inventory!$A$1:$BC$500,35,FALSE),IF(AND(B200=$G$7,pmt_timing="End"),VLOOKUP($B$1,Inventory!$A$1:$BC$500,35,FALSE),0))</f>
        <v>#N/A</v>
      </c>
      <c r="E200" s="78">
        <v>0</v>
      </c>
      <c r="F200" s="78">
        <v>0</v>
      </c>
      <c r="G200" s="78">
        <v>0</v>
      </c>
      <c r="H200" s="78">
        <v>0</v>
      </c>
      <c r="I200" s="78">
        <v>0</v>
      </c>
      <c r="J200" s="78">
        <v>0</v>
      </c>
      <c r="K200" s="78">
        <v>0</v>
      </c>
      <c r="L200" s="36" t="e">
        <f t="shared" ca="1" si="54"/>
        <v>#N/A</v>
      </c>
      <c r="M200" s="37" t="e">
        <f t="shared" ca="1" si="52"/>
        <v>#N/A</v>
      </c>
      <c r="N200" s="37" t="e">
        <f t="shared" ca="1" si="53"/>
        <v>#N/A</v>
      </c>
      <c r="P200" s="35" t="e">
        <f t="shared" ca="1" si="60"/>
        <v>#N/A</v>
      </c>
      <c r="Q200" s="59" t="e">
        <f t="shared" ca="1" si="55"/>
        <v>#N/A</v>
      </c>
      <c r="R200" s="44" t="e">
        <f t="shared" ca="1" si="56"/>
        <v>#N/A</v>
      </c>
      <c r="S200" s="37" t="e">
        <f ca="1">IF(P200="","",IF(P200="Total",SUM($S$19:S199),VLOOKUP($P200,$B$12:$L254,11,FALSE)))</f>
        <v>#N/A</v>
      </c>
      <c r="T200" s="44" t="e">
        <f ca="1">IF(payfreq="Annually",IF(P200="","",IF(P200="Total",SUM($T$19:T199),Adj_Rate*$R200)),IF(payfreq="Semiannually",IF(P200="","",IF(P200="Total",SUM($T$19:T199),Adj_Rate/2*$R200)),IF(payfreq="Quarterly",IF(P200="","",IF(P200="Total",SUM($T$19:T199),Adj_Rate/4*$R200)),IF(payfreq="Monthly",IF(P200="","",IF(P200="Total",SUM($T$19:T199),Adj_Rate/12*$R200)),""))))</f>
        <v>#N/A</v>
      </c>
      <c r="U200" s="37" t="e">
        <f t="shared" ca="1" si="57"/>
        <v>#N/A</v>
      </c>
      <c r="V200" s="44" t="e">
        <f t="shared" ca="1" si="58"/>
        <v>#N/A</v>
      </c>
    </row>
    <row r="201" spans="2:22">
      <c r="B201" s="38">
        <v>182</v>
      </c>
      <c r="C201" s="77" t="e">
        <f t="shared" ca="1" si="59"/>
        <v>#N/A</v>
      </c>
      <c r="D201" s="78" t="e">
        <f ca="1">+IF(AND(B201&lt;$G$7),VLOOKUP($B$1,Inventory!$A$1:$BC$500,35,FALSE),IF(AND(B201=$G$7,pmt_timing="End"),VLOOKUP($B$1,Inventory!$A$1:$BC$500,35,FALSE),0))</f>
        <v>#N/A</v>
      </c>
      <c r="E201" s="78">
        <v>0</v>
      </c>
      <c r="F201" s="78">
        <v>0</v>
      </c>
      <c r="G201" s="78">
        <v>0</v>
      </c>
      <c r="H201" s="78">
        <v>0</v>
      </c>
      <c r="I201" s="78">
        <v>0</v>
      </c>
      <c r="J201" s="78">
        <v>0</v>
      </c>
      <c r="K201" s="78">
        <v>0</v>
      </c>
      <c r="L201" s="36" t="e">
        <f t="shared" ca="1" si="54"/>
        <v>#N/A</v>
      </c>
      <c r="M201" s="37" t="e">
        <f t="shared" ca="1" si="52"/>
        <v>#N/A</v>
      </c>
      <c r="N201" s="37" t="e">
        <f t="shared" ca="1" si="53"/>
        <v>#N/A</v>
      </c>
      <c r="P201" s="35" t="e">
        <f t="shared" ca="1" si="60"/>
        <v>#N/A</v>
      </c>
      <c r="Q201" s="59" t="e">
        <f t="shared" ca="1" si="55"/>
        <v>#N/A</v>
      </c>
      <c r="R201" s="44" t="e">
        <f t="shared" ca="1" si="56"/>
        <v>#N/A</v>
      </c>
      <c r="S201" s="37" t="e">
        <f ca="1">IF(P201="","",IF(P201="Total",SUM($S$19:S200),VLOOKUP($P201,$B$12:$L255,11,FALSE)))</f>
        <v>#N/A</v>
      </c>
      <c r="T201" s="44" t="e">
        <f ca="1">IF(payfreq="Annually",IF(P201="","",IF(P201="Total",SUM($T$19:T200),Adj_Rate*$R201)),IF(payfreq="Semiannually",IF(P201="","",IF(P201="Total",SUM($T$19:T200),Adj_Rate/2*$R201)),IF(payfreq="Quarterly",IF(P201="","",IF(P201="Total",SUM($T$19:T200),Adj_Rate/4*$R201)),IF(payfreq="Monthly",IF(P201="","",IF(P201="Total",SUM($T$19:T200),Adj_Rate/12*$R201)),""))))</f>
        <v>#N/A</v>
      </c>
      <c r="U201" s="37" t="e">
        <f t="shared" ca="1" si="57"/>
        <v>#N/A</v>
      </c>
      <c r="V201" s="44" t="e">
        <f t="shared" ca="1" si="58"/>
        <v>#N/A</v>
      </c>
    </row>
    <row r="202" spans="2:22">
      <c r="B202" s="38">
        <v>183</v>
      </c>
      <c r="C202" s="77" t="e">
        <f t="shared" ca="1" si="59"/>
        <v>#N/A</v>
      </c>
      <c r="D202" s="78" t="e">
        <f ca="1">+IF(AND(B202&lt;$G$7),VLOOKUP($B$1,Inventory!$A$1:$BC$500,35,FALSE),IF(AND(B202=$G$7,pmt_timing="End"),VLOOKUP($B$1,Inventory!$A$1:$BC$500,35,FALSE),0))</f>
        <v>#N/A</v>
      </c>
      <c r="E202" s="78">
        <v>0</v>
      </c>
      <c r="F202" s="78">
        <v>0</v>
      </c>
      <c r="G202" s="78">
        <v>0</v>
      </c>
      <c r="H202" s="78">
        <v>0</v>
      </c>
      <c r="I202" s="78">
        <v>0</v>
      </c>
      <c r="J202" s="78">
        <v>0</v>
      </c>
      <c r="K202" s="78">
        <v>0</v>
      </c>
      <c r="L202" s="36" t="e">
        <f t="shared" ca="1" si="54"/>
        <v>#N/A</v>
      </c>
      <c r="M202" s="37" t="e">
        <f t="shared" ca="1" si="52"/>
        <v>#N/A</v>
      </c>
      <c r="N202" s="37" t="e">
        <f t="shared" ca="1" si="53"/>
        <v>#N/A</v>
      </c>
      <c r="P202" s="35" t="e">
        <f t="shared" ca="1" si="60"/>
        <v>#N/A</v>
      </c>
      <c r="Q202" s="59" t="e">
        <f t="shared" ca="1" si="55"/>
        <v>#N/A</v>
      </c>
      <c r="R202" s="44" t="e">
        <f t="shared" ca="1" si="56"/>
        <v>#N/A</v>
      </c>
      <c r="S202" s="37" t="e">
        <f ca="1">IF(P202="","",IF(P202="Total",SUM($S$19:S201),VLOOKUP($P202,$B$12:$L256,11,FALSE)))</f>
        <v>#N/A</v>
      </c>
      <c r="T202" s="44" t="e">
        <f ca="1">IF(payfreq="Annually",IF(P202="","",IF(P202="Total",SUM($T$19:T201),Adj_Rate*$R202)),IF(payfreq="Semiannually",IF(P202="","",IF(P202="Total",SUM($T$19:T201),Adj_Rate/2*$R202)),IF(payfreq="Quarterly",IF(P202="","",IF(P202="Total",SUM($T$19:T201),Adj_Rate/4*$R202)),IF(payfreq="Monthly",IF(P202="","",IF(P202="Total",SUM($T$19:T201),Adj_Rate/12*$R202)),""))))</f>
        <v>#N/A</v>
      </c>
      <c r="U202" s="37" t="e">
        <f t="shared" ca="1" si="57"/>
        <v>#N/A</v>
      </c>
      <c r="V202" s="44" t="e">
        <f t="shared" ca="1" si="58"/>
        <v>#N/A</v>
      </c>
    </row>
    <row r="203" spans="2:22">
      <c r="B203" s="38">
        <v>184</v>
      </c>
      <c r="C203" s="77" t="e">
        <f t="shared" ca="1" si="59"/>
        <v>#N/A</v>
      </c>
      <c r="D203" s="78" t="e">
        <f ca="1">+IF(AND(B203&lt;$G$7),VLOOKUP($B$1,Inventory!$A$1:$BC$500,35,FALSE),IF(AND(B203=$G$7,pmt_timing="End"),VLOOKUP($B$1,Inventory!$A$1:$BC$500,35,FALSE),0))</f>
        <v>#N/A</v>
      </c>
      <c r="E203" s="78">
        <v>0</v>
      </c>
      <c r="F203" s="78">
        <v>0</v>
      </c>
      <c r="G203" s="78">
        <v>0</v>
      </c>
      <c r="H203" s="78">
        <v>0</v>
      </c>
      <c r="I203" s="78">
        <v>0</v>
      </c>
      <c r="J203" s="78">
        <v>0</v>
      </c>
      <c r="K203" s="78">
        <v>0</v>
      </c>
      <c r="L203" s="36" t="e">
        <f t="shared" ca="1" si="54"/>
        <v>#N/A</v>
      </c>
      <c r="M203" s="37" t="e">
        <f t="shared" ca="1" si="52"/>
        <v>#N/A</v>
      </c>
      <c r="N203" s="37" t="e">
        <f t="shared" ca="1" si="53"/>
        <v>#N/A</v>
      </c>
      <c r="P203" s="35" t="e">
        <f t="shared" ca="1" si="60"/>
        <v>#N/A</v>
      </c>
      <c r="Q203" s="59" t="e">
        <f t="shared" ca="1" si="55"/>
        <v>#N/A</v>
      </c>
      <c r="R203" s="44" t="e">
        <f t="shared" ca="1" si="56"/>
        <v>#N/A</v>
      </c>
      <c r="S203" s="37" t="e">
        <f ca="1">IF(P203="","",IF(P203="Total",SUM($S$19:S202),VLOOKUP($P203,$B$12:$L257,11,FALSE)))</f>
        <v>#N/A</v>
      </c>
      <c r="T203" s="44" t="e">
        <f ca="1">IF(payfreq="Annually",IF(P203="","",IF(P203="Total",SUM($T$19:T202),Adj_Rate*$R203)),IF(payfreq="Semiannually",IF(P203="","",IF(P203="Total",SUM($T$19:T202),Adj_Rate/2*$R203)),IF(payfreq="Quarterly",IF(P203="","",IF(P203="Total",SUM($T$19:T202),Adj_Rate/4*$R203)),IF(payfreq="Monthly",IF(P203="","",IF(P203="Total",SUM($T$19:T202),Adj_Rate/12*$R203)),""))))</f>
        <v>#N/A</v>
      </c>
      <c r="U203" s="37" t="e">
        <f t="shared" ca="1" si="57"/>
        <v>#N/A</v>
      </c>
      <c r="V203" s="44" t="e">
        <f t="shared" ca="1" si="58"/>
        <v>#N/A</v>
      </c>
    </row>
    <row r="204" spans="2:22">
      <c r="B204" s="38">
        <v>185</v>
      </c>
      <c r="C204" s="77" t="e">
        <f t="shared" ca="1" si="59"/>
        <v>#N/A</v>
      </c>
      <c r="D204" s="78" t="e">
        <f ca="1">+IF(AND(B204&lt;$G$7),VLOOKUP($B$1,Inventory!$A$1:$BC$500,35,FALSE),IF(AND(B204=$G$7,pmt_timing="End"),VLOOKUP($B$1,Inventory!$A$1:$BC$500,35,FALSE),0))</f>
        <v>#N/A</v>
      </c>
      <c r="E204" s="78">
        <v>0</v>
      </c>
      <c r="F204" s="78">
        <v>0</v>
      </c>
      <c r="G204" s="78">
        <v>0</v>
      </c>
      <c r="H204" s="78">
        <v>0</v>
      </c>
      <c r="I204" s="78">
        <v>0</v>
      </c>
      <c r="J204" s="78">
        <v>0</v>
      </c>
      <c r="K204" s="78">
        <v>0</v>
      </c>
      <c r="L204" s="36" t="e">
        <f t="shared" ca="1" si="54"/>
        <v>#N/A</v>
      </c>
      <c r="M204" s="37" t="e">
        <f t="shared" ca="1" si="52"/>
        <v>#N/A</v>
      </c>
      <c r="N204" s="37" t="e">
        <f t="shared" ca="1" si="53"/>
        <v>#N/A</v>
      </c>
      <c r="P204" s="35" t="e">
        <f t="shared" ca="1" si="60"/>
        <v>#N/A</v>
      </c>
      <c r="Q204" s="59" t="e">
        <f t="shared" ca="1" si="55"/>
        <v>#N/A</v>
      </c>
      <c r="R204" s="44" t="e">
        <f t="shared" ca="1" si="56"/>
        <v>#N/A</v>
      </c>
      <c r="S204" s="37" t="e">
        <f ca="1">IF(P204="","",IF(P204="Total",SUM($S$19:S203),VLOOKUP($P204,$B$12:$L258,11,FALSE)))</f>
        <v>#N/A</v>
      </c>
      <c r="T204" s="44" t="e">
        <f ca="1">IF(payfreq="Annually",IF(P204="","",IF(P204="Total",SUM($T$19:T203),Adj_Rate*$R204)),IF(payfreq="Semiannually",IF(P204="","",IF(P204="Total",SUM($T$19:T203),Adj_Rate/2*$R204)),IF(payfreq="Quarterly",IF(P204="","",IF(P204="Total",SUM($T$19:T203),Adj_Rate/4*$R204)),IF(payfreq="Monthly",IF(P204="","",IF(P204="Total",SUM($T$19:T203),Adj_Rate/12*$R204)),""))))</f>
        <v>#N/A</v>
      </c>
      <c r="U204" s="37" t="e">
        <f t="shared" ca="1" si="57"/>
        <v>#N/A</v>
      </c>
      <c r="V204" s="44" t="e">
        <f t="shared" ca="1" si="58"/>
        <v>#N/A</v>
      </c>
    </row>
    <row r="205" spans="2:22">
      <c r="B205" s="38">
        <v>186</v>
      </c>
      <c r="C205" s="77" t="e">
        <f t="shared" ca="1" si="59"/>
        <v>#N/A</v>
      </c>
      <c r="D205" s="78" t="e">
        <f ca="1">+IF(AND(B205&lt;$G$7),VLOOKUP($B$1,Inventory!$A$1:$BC$500,35,FALSE),IF(AND(B205=$G$7,pmt_timing="End"),VLOOKUP($B$1,Inventory!$A$1:$BC$500,35,FALSE),0))</f>
        <v>#N/A</v>
      </c>
      <c r="E205" s="78">
        <v>0</v>
      </c>
      <c r="F205" s="78">
        <v>0</v>
      </c>
      <c r="G205" s="78">
        <v>0</v>
      </c>
      <c r="H205" s="78">
        <v>0</v>
      </c>
      <c r="I205" s="78">
        <v>0</v>
      </c>
      <c r="J205" s="78">
        <v>0</v>
      </c>
      <c r="K205" s="78">
        <v>0</v>
      </c>
      <c r="L205" s="36" t="e">
        <f t="shared" ca="1" si="54"/>
        <v>#N/A</v>
      </c>
      <c r="M205" s="37" t="e">
        <f t="shared" ca="1" si="52"/>
        <v>#N/A</v>
      </c>
      <c r="N205" s="37" t="e">
        <f t="shared" ca="1" si="53"/>
        <v>#N/A</v>
      </c>
      <c r="P205" s="35" t="e">
        <f t="shared" ca="1" si="60"/>
        <v>#N/A</v>
      </c>
      <c r="Q205" s="59" t="e">
        <f t="shared" ca="1" si="55"/>
        <v>#N/A</v>
      </c>
      <c r="R205" s="44" t="e">
        <f t="shared" ca="1" si="56"/>
        <v>#N/A</v>
      </c>
      <c r="S205" s="37" t="e">
        <f ca="1">IF(P205="","",IF(P205="Total",SUM($S$19:S204),VLOOKUP($P205,$B$12:$L259,11,FALSE)))</f>
        <v>#N/A</v>
      </c>
      <c r="T205" s="44" t="e">
        <f ca="1">IF(payfreq="Annually",IF(P205="","",IF(P205="Total",SUM($T$19:T204),Adj_Rate*$R205)),IF(payfreq="Semiannually",IF(P205="","",IF(P205="Total",SUM($T$19:T204),Adj_Rate/2*$R205)),IF(payfreq="Quarterly",IF(P205="","",IF(P205="Total",SUM($T$19:T204),Adj_Rate/4*$R205)),IF(payfreq="Monthly",IF(P205="","",IF(P205="Total",SUM($T$19:T204),Adj_Rate/12*$R205)),""))))</f>
        <v>#N/A</v>
      </c>
      <c r="U205" s="37" t="e">
        <f t="shared" ca="1" si="57"/>
        <v>#N/A</v>
      </c>
      <c r="V205" s="44" t="e">
        <f t="shared" ca="1" si="58"/>
        <v>#N/A</v>
      </c>
    </row>
    <row r="206" spans="2:22">
      <c r="B206" s="38">
        <v>187</v>
      </c>
      <c r="C206" s="77" t="e">
        <f t="shared" ca="1" si="59"/>
        <v>#N/A</v>
      </c>
      <c r="D206" s="78" t="e">
        <f ca="1">+IF(AND(B206&lt;$G$7),VLOOKUP($B$1,Inventory!$A$1:$BC$500,35,FALSE),IF(AND(B206=$G$7,pmt_timing="End"),VLOOKUP($B$1,Inventory!$A$1:$BC$500,35,FALSE),0))</f>
        <v>#N/A</v>
      </c>
      <c r="E206" s="78">
        <v>0</v>
      </c>
      <c r="F206" s="78">
        <v>0</v>
      </c>
      <c r="G206" s="78">
        <v>0</v>
      </c>
      <c r="H206" s="78">
        <v>0</v>
      </c>
      <c r="I206" s="78">
        <v>0</v>
      </c>
      <c r="J206" s="78">
        <v>0</v>
      </c>
      <c r="K206" s="78">
        <v>0</v>
      </c>
      <c r="L206" s="36" t="e">
        <f t="shared" ca="1" si="54"/>
        <v>#N/A</v>
      </c>
      <c r="M206" s="37" t="e">
        <f t="shared" ca="1" si="52"/>
        <v>#N/A</v>
      </c>
      <c r="N206" s="37" t="e">
        <f t="shared" ca="1" si="53"/>
        <v>#N/A</v>
      </c>
      <c r="P206" s="35" t="e">
        <f t="shared" ca="1" si="60"/>
        <v>#N/A</v>
      </c>
      <c r="Q206" s="59" t="e">
        <f t="shared" ca="1" si="55"/>
        <v>#N/A</v>
      </c>
      <c r="R206" s="44" t="e">
        <f t="shared" ca="1" si="56"/>
        <v>#N/A</v>
      </c>
      <c r="S206" s="37" t="e">
        <f ca="1">IF(P206="","",IF(P206="Total",SUM($S$19:S205),VLOOKUP($P206,$B$12:$L260,11,FALSE)))</f>
        <v>#N/A</v>
      </c>
      <c r="T206" s="44" t="e">
        <f ca="1">IF(payfreq="Annually",IF(P206="","",IF(P206="Total",SUM($T$19:T205),Adj_Rate*$R206)),IF(payfreq="Semiannually",IF(P206="","",IF(P206="Total",SUM($T$19:T205),Adj_Rate/2*$R206)),IF(payfreq="Quarterly",IF(P206="","",IF(P206="Total",SUM($T$19:T205),Adj_Rate/4*$R206)),IF(payfreq="Monthly",IF(P206="","",IF(P206="Total",SUM($T$19:T205),Adj_Rate/12*$R206)),""))))</f>
        <v>#N/A</v>
      </c>
      <c r="U206" s="37" t="e">
        <f t="shared" ca="1" si="57"/>
        <v>#N/A</v>
      </c>
      <c r="V206" s="44" t="e">
        <f t="shared" ca="1" si="58"/>
        <v>#N/A</v>
      </c>
    </row>
    <row r="207" spans="2:22">
      <c r="B207" s="38">
        <v>188</v>
      </c>
      <c r="C207" s="77" t="e">
        <f t="shared" ca="1" si="59"/>
        <v>#N/A</v>
      </c>
      <c r="D207" s="78" t="e">
        <f ca="1">+IF(AND(B207&lt;$G$7),VLOOKUP($B$1,Inventory!$A$1:$BC$500,35,FALSE),IF(AND(B207=$G$7,pmt_timing="End"),VLOOKUP($B$1,Inventory!$A$1:$BC$500,35,FALSE),0))</f>
        <v>#N/A</v>
      </c>
      <c r="E207" s="78">
        <v>0</v>
      </c>
      <c r="F207" s="78">
        <v>0</v>
      </c>
      <c r="G207" s="78">
        <v>0</v>
      </c>
      <c r="H207" s="78">
        <v>0</v>
      </c>
      <c r="I207" s="78">
        <v>0</v>
      </c>
      <c r="J207" s="78">
        <v>0</v>
      </c>
      <c r="K207" s="78">
        <v>0</v>
      </c>
      <c r="L207" s="36" t="e">
        <f t="shared" ca="1" si="54"/>
        <v>#N/A</v>
      </c>
      <c r="M207" s="37" t="e">
        <f t="shared" ca="1" si="52"/>
        <v>#N/A</v>
      </c>
      <c r="N207" s="37" t="e">
        <f t="shared" ca="1" si="53"/>
        <v>#N/A</v>
      </c>
      <c r="P207" s="35" t="e">
        <f t="shared" ca="1" si="60"/>
        <v>#N/A</v>
      </c>
      <c r="Q207" s="59" t="e">
        <f t="shared" ca="1" si="55"/>
        <v>#N/A</v>
      </c>
      <c r="R207" s="44" t="e">
        <f t="shared" ca="1" si="56"/>
        <v>#N/A</v>
      </c>
      <c r="S207" s="37" t="e">
        <f ca="1">IF(P207="","",IF(P207="Total",SUM($S$19:S206),VLOOKUP($P207,$B$12:$L261,11,FALSE)))</f>
        <v>#N/A</v>
      </c>
      <c r="T207" s="44" t="e">
        <f ca="1">IF(payfreq="Annually",IF(P207="","",IF(P207="Total",SUM($T$19:T206),Adj_Rate*$R207)),IF(payfreq="Semiannually",IF(P207="","",IF(P207="Total",SUM($T$19:T206),Adj_Rate/2*$R207)),IF(payfreq="Quarterly",IF(P207="","",IF(P207="Total",SUM($T$19:T206),Adj_Rate/4*$R207)),IF(payfreq="Monthly",IF(P207="","",IF(P207="Total",SUM($T$19:T206),Adj_Rate/12*$R207)),""))))</f>
        <v>#N/A</v>
      </c>
      <c r="U207" s="37" t="e">
        <f t="shared" ca="1" si="57"/>
        <v>#N/A</v>
      </c>
      <c r="V207" s="44" t="e">
        <f t="shared" ca="1" si="58"/>
        <v>#N/A</v>
      </c>
    </row>
    <row r="208" spans="2:22">
      <c r="B208" s="38">
        <v>189</v>
      </c>
      <c r="C208" s="77" t="e">
        <f t="shared" ca="1" si="59"/>
        <v>#N/A</v>
      </c>
      <c r="D208" s="78" t="e">
        <f ca="1">+IF(AND(B208&lt;$G$7),VLOOKUP($B$1,Inventory!$A$1:$BC$500,35,FALSE),IF(AND(B208=$G$7,pmt_timing="End"),VLOOKUP($B$1,Inventory!$A$1:$BC$500,35,FALSE),0))</f>
        <v>#N/A</v>
      </c>
      <c r="E208" s="78">
        <v>0</v>
      </c>
      <c r="F208" s="78">
        <v>0</v>
      </c>
      <c r="G208" s="78">
        <v>0</v>
      </c>
      <c r="H208" s="78">
        <v>0</v>
      </c>
      <c r="I208" s="78">
        <v>0</v>
      </c>
      <c r="J208" s="78">
        <v>0</v>
      </c>
      <c r="K208" s="78">
        <v>0</v>
      </c>
      <c r="L208" s="36" t="e">
        <f t="shared" ca="1" si="54"/>
        <v>#N/A</v>
      </c>
      <c r="M208" s="37" t="e">
        <f t="shared" ca="1" si="52"/>
        <v>#N/A</v>
      </c>
      <c r="N208" s="37" t="e">
        <f t="shared" ca="1" si="53"/>
        <v>#N/A</v>
      </c>
      <c r="P208" s="35" t="e">
        <f t="shared" ca="1" si="60"/>
        <v>#N/A</v>
      </c>
      <c r="Q208" s="59" t="e">
        <f t="shared" ca="1" si="55"/>
        <v>#N/A</v>
      </c>
      <c r="R208" s="44" t="e">
        <f t="shared" ca="1" si="56"/>
        <v>#N/A</v>
      </c>
      <c r="S208" s="37" t="e">
        <f ca="1">IF(P208="","",IF(P208="Total",SUM($S$19:S207),VLOOKUP($P208,$B$12:$L262,11,FALSE)))</f>
        <v>#N/A</v>
      </c>
      <c r="T208" s="44" t="e">
        <f ca="1">IF(payfreq="Annually",IF(P208="","",IF(P208="Total",SUM($T$19:T207),Adj_Rate*$R208)),IF(payfreq="Semiannually",IF(P208="","",IF(P208="Total",SUM($T$19:T207),Adj_Rate/2*$R208)),IF(payfreq="Quarterly",IF(P208="","",IF(P208="Total",SUM($T$19:T207),Adj_Rate/4*$R208)),IF(payfreq="Monthly",IF(P208="","",IF(P208="Total",SUM($T$19:T207),Adj_Rate/12*$R208)),""))))</f>
        <v>#N/A</v>
      </c>
      <c r="U208" s="37" t="e">
        <f t="shared" ca="1" si="57"/>
        <v>#N/A</v>
      </c>
      <c r="V208" s="44" t="e">
        <f t="shared" ca="1" si="58"/>
        <v>#N/A</v>
      </c>
    </row>
    <row r="209" spans="2:22">
      <c r="B209" s="38">
        <v>190</v>
      </c>
      <c r="C209" s="77" t="e">
        <f t="shared" ca="1" si="59"/>
        <v>#N/A</v>
      </c>
      <c r="D209" s="78" t="e">
        <f ca="1">+IF(AND(B209&lt;$G$7),VLOOKUP($B$1,Inventory!$A$1:$BC$500,35,FALSE),IF(AND(B209=$G$7,pmt_timing="End"),VLOOKUP($B$1,Inventory!$A$1:$BC$500,35,FALSE),0))</f>
        <v>#N/A</v>
      </c>
      <c r="E209" s="78">
        <v>0</v>
      </c>
      <c r="F209" s="78">
        <v>0</v>
      </c>
      <c r="G209" s="78">
        <v>0</v>
      </c>
      <c r="H209" s="78">
        <v>0</v>
      </c>
      <c r="I209" s="78">
        <v>0</v>
      </c>
      <c r="J209" s="78">
        <v>0</v>
      </c>
      <c r="K209" s="78">
        <v>0</v>
      </c>
      <c r="L209" s="36" t="e">
        <f t="shared" ca="1" si="54"/>
        <v>#N/A</v>
      </c>
      <c r="M209" s="37" t="e">
        <f t="shared" ca="1" si="52"/>
        <v>#N/A</v>
      </c>
      <c r="N209" s="37" t="e">
        <f t="shared" ca="1" si="53"/>
        <v>#N/A</v>
      </c>
      <c r="P209" s="35" t="e">
        <f t="shared" ca="1" si="60"/>
        <v>#N/A</v>
      </c>
      <c r="Q209" s="59" t="e">
        <f t="shared" ca="1" si="55"/>
        <v>#N/A</v>
      </c>
      <c r="R209" s="44" t="e">
        <f t="shared" ca="1" si="56"/>
        <v>#N/A</v>
      </c>
      <c r="S209" s="37" t="e">
        <f ca="1">IF(P209="","",IF(P209="Total",SUM($S$19:S208),VLOOKUP($P209,$B$12:$L263,11,FALSE)))</f>
        <v>#N/A</v>
      </c>
      <c r="T209" s="44" t="e">
        <f ca="1">IF(payfreq="Annually",IF(P209="","",IF(P209="Total",SUM($T$19:T208),Adj_Rate*$R209)),IF(payfreq="Semiannually",IF(P209="","",IF(P209="Total",SUM($T$19:T208),Adj_Rate/2*$R209)),IF(payfreq="Quarterly",IF(P209="","",IF(P209="Total",SUM($T$19:T208),Adj_Rate/4*$R209)),IF(payfreq="Monthly",IF(P209="","",IF(P209="Total",SUM($T$19:T208),Adj_Rate/12*$R209)),""))))</f>
        <v>#N/A</v>
      </c>
      <c r="U209" s="37" t="e">
        <f t="shared" ca="1" si="57"/>
        <v>#N/A</v>
      </c>
      <c r="V209" s="44" t="e">
        <f t="shared" ca="1" si="58"/>
        <v>#N/A</v>
      </c>
    </row>
    <row r="210" spans="2:22">
      <c r="B210" s="38">
        <v>191</v>
      </c>
      <c r="C210" s="77" t="e">
        <f t="shared" ca="1" si="59"/>
        <v>#N/A</v>
      </c>
      <c r="D210" s="78" t="e">
        <f ca="1">+IF(AND(B210&lt;$G$7),VLOOKUP($B$1,Inventory!$A$1:$BC$500,35,FALSE),IF(AND(B210=$G$7,pmt_timing="End"),VLOOKUP($B$1,Inventory!$A$1:$BC$500,35,FALSE),0))</f>
        <v>#N/A</v>
      </c>
      <c r="E210" s="78">
        <v>0</v>
      </c>
      <c r="F210" s="78">
        <v>0</v>
      </c>
      <c r="G210" s="78">
        <v>0</v>
      </c>
      <c r="H210" s="78">
        <v>0</v>
      </c>
      <c r="I210" s="78">
        <v>0</v>
      </c>
      <c r="J210" s="78">
        <v>0</v>
      </c>
      <c r="K210" s="78">
        <v>0</v>
      </c>
      <c r="L210" s="36" t="e">
        <f t="shared" ca="1" si="54"/>
        <v>#N/A</v>
      </c>
      <c r="M210" s="37" t="e">
        <f t="shared" ca="1" si="52"/>
        <v>#N/A</v>
      </c>
      <c r="N210" s="37" t="e">
        <f t="shared" ca="1" si="53"/>
        <v>#N/A</v>
      </c>
      <c r="P210" s="35" t="e">
        <f t="shared" ca="1" si="60"/>
        <v>#N/A</v>
      </c>
      <c r="Q210" s="59" t="e">
        <f t="shared" ca="1" si="55"/>
        <v>#N/A</v>
      </c>
      <c r="R210" s="44" t="e">
        <f t="shared" ca="1" si="56"/>
        <v>#N/A</v>
      </c>
      <c r="S210" s="37" t="e">
        <f ca="1">IF(P210="","",IF(P210="Total",SUM($S$19:S209),VLOOKUP($P210,$B$12:$L264,11,FALSE)))</f>
        <v>#N/A</v>
      </c>
      <c r="T210" s="44" t="e">
        <f ca="1">IF(payfreq="Annually",IF(P210="","",IF(P210="Total",SUM($T$19:T209),Adj_Rate*$R210)),IF(payfreq="Semiannually",IF(P210="","",IF(P210="Total",SUM($T$19:T209),Adj_Rate/2*$R210)),IF(payfreq="Quarterly",IF(P210="","",IF(P210="Total",SUM($T$19:T209),Adj_Rate/4*$R210)),IF(payfreq="Monthly",IF(P210="","",IF(P210="Total",SUM($T$19:T209),Adj_Rate/12*$R210)),""))))</f>
        <v>#N/A</v>
      </c>
      <c r="U210" s="37" t="e">
        <f t="shared" ca="1" si="57"/>
        <v>#N/A</v>
      </c>
      <c r="V210" s="44" t="e">
        <f t="shared" ca="1" si="58"/>
        <v>#N/A</v>
      </c>
    </row>
    <row r="211" spans="2:22">
      <c r="B211" s="38">
        <v>192</v>
      </c>
      <c r="C211" s="77" t="e">
        <f t="shared" ca="1" si="59"/>
        <v>#N/A</v>
      </c>
      <c r="D211" s="78" t="e">
        <f ca="1">+IF(AND(B211&lt;$G$7),VLOOKUP($B$1,Inventory!$A$1:$BC$500,35,FALSE),IF(AND(B211=$G$7,pmt_timing="End"),VLOOKUP($B$1,Inventory!$A$1:$BC$500,35,FALSE),0))</f>
        <v>#N/A</v>
      </c>
      <c r="E211" s="78">
        <v>0</v>
      </c>
      <c r="F211" s="78">
        <v>0</v>
      </c>
      <c r="G211" s="78">
        <v>0</v>
      </c>
      <c r="H211" s="78">
        <v>0</v>
      </c>
      <c r="I211" s="78">
        <v>0</v>
      </c>
      <c r="J211" s="78">
        <v>0</v>
      </c>
      <c r="K211" s="78">
        <v>0</v>
      </c>
      <c r="L211" s="36" t="e">
        <f t="shared" ca="1" si="54"/>
        <v>#N/A</v>
      </c>
      <c r="M211" s="37" t="e">
        <f t="shared" ref="M211:M274" ca="1" si="61">IF(AND(payfreq="Annually",pmt_timing="End",$B211&lt;=term),$L211/(1+Adj_Rate)^($B211),IF(AND(payfreq="Semiannually",pmt_timing="End",$B211&lt;=term),$L211/(1+Adj_Rate/2)^($B211),IF(AND(payfreq="Quarterly",pmt_timing="End",$B211&lt;=term),$L211/(1+Adj_Rate/4)^($B211),IF(AND(payfreq="Monthly",pmt_timing="End",$B211&lt;=term),$L211/(1+Adj_Rate/12)^($B211),""))))</f>
        <v>#N/A</v>
      </c>
      <c r="N211" s="37" t="e">
        <f t="shared" ref="N211:N274" ca="1" si="62">IF(AND(payfreq="Annually",pmt_timing="Beginning",$B211&lt;=term),$L211/(1+Adj_Rate)^($B211),IF(AND(payfreq="Semiannually",pmt_timing="Beginning",$B211&lt;=term),$L211/(1+Adj_Rate/2)^($B211),IF(AND(payfreq="Quarterly",pmt_timing="Beginning",$B211&lt;=term),$L211/(1+Adj_Rate/4)^($B211),IF(AND(payfreq="Monthly",pmt_timing="Beginning",$B211&lt;=term),$L211/(1+Adj_Rate/12)^($B211),""))))</f>
        <v>#N/A</v>
      </c>
      <c r="P211" s="35" t="e">
        <f t="shared" ca="1" si="60"/>
        <v>#N/A</v>
      </c>
      <c r="Q211" s="59" t="e">
        <f t="shared" ca="1" si="55"/>
        <v>#N/A</v>
      </c>
      <c r="R211" s="44" t="e">
        <f t="shared" ca="1" si="56"/>
        <v>#N/A</v>
      </c>
      <c r="S211" s="37" t="e">
        <f ca="1">IF(P211="","",IF(P211="Total",SUM($S$19:S210),VLOOKUP($P211,$B$12:$L265,11,FALSE)))</f>
        <v>#N/A</v>
      </c>
      <c r="T211" s="44" t="e">
        <f ca="1">IF(payfreq="Annually",IF(P211="","",IF(P211="Total",SUM($T$19:T210),Adj_Rate*$R211)),IF(payfreq="Semiannually",IF(P211="","",IF(P211="Total",SUM($T$19:T210),Adj_Rate/2*$R211)),IF(payfreq="Quarterly",IF(P211="","",IF(P211="Total",SUM($T$19:T210),Adj_Rate/4*$R211)),IF(payfreq="Monthly",IF(P211="","",IF(P211="Total",SUM($T$19:T210),Adj_Rate/12*$R211)),""))))</f>
        <v>#N/A</v>
      </c>
      <c r="U211" s="37" t="e">
        <f t="shared" ca="1" si="57"/>
        <v>#N/A</v>
      </c>
      <c r="V211" s="44" t="e">
        <f t="shared" ca="1" si="58"/>
        <v>#N/A</v>
      </c>
    </row>
    <row r="212" spans="2:22">
      <c r="B212" s="38">
        <v>193</v>
      </c>
      <c r="C212" s="77" t="e">
        <f t="shared" ca="1" si="59"/>
        <v>#N/A</v>
      </c>
      <c r="D212" s="78" t="e">
        <f ca="1">+IF(AND(B212&lt;$G$7),VLOOKUP($B$1,Inventory!$A$1:$BC$500,35,FALSE),IF(AND(B212=$G$7,pmt_timing="End"),VLOOKUP($B$1,Inventory!$A$1:$BC$500,35,FALSE),0))</f>
        <v>#N/A</v>
      </c>
      <c r="E212" s="78">
        <v>0</v>
      </c>
      <c r="F212" s="78">
        <v>0</v>
      </c>
      <c r="G212" s="78">
        <v>0</v>
      </c>
      <c r="H212" s="78">
        <v>0</v>
      </c>
      <c r="I212" s="78">
        <v>0</v>
      </c>
      <c r="J212" s="78">
        <v>0</v>
      </c>
      <c r="K212" s="78">
        <v>0</v>
      </c>
      <c r="L212" s="36" t="e">
        <f t="shared" ref="L212:L275" ca="1" si="63">SUM(D212:K212)</f>
        <v>#N/A</v>
      </c>
      <c r="M212" s="37" t="e">
        <f t="shared" ca="1" si="61"/>
        <v>#N/A</v>
      </c>
      <c r="N212" s="37" t="e">
        <f t="shared" ca="1" si="62"/>
        <v>#N/A</v>
      </c>
      <c r="P212" s="35" t="e">
        <f t="shared" ca="1" si="60"/>
        <v>#N/A</v>
      </c>
      <c r="Q212" s="59" t="e">
        <f t="shared" ref="Q212:Q275" ca="1" si="64">IF(P212="","",IF(P212="total","",IF(payfreq="Annually",DATE(YEAR(Q211)+1,MONTH(Q211),DAY(Q211)),IF(payfreq="Semiannually",DATE(YEAR(Q211),MONTH(Q211)+6,DAY(Q211)),IF(payfreq="Quarterly",DATE(YEAR(Q211),MONTH(Q211)+3,DAY(Q211)),IF(payfreq="Monthly",DATE(YEAR(Q211),MONTH(Q211)+1,DAY(Q211))))))))</f>
        <v>#N/A</v>
      </c>
      <c r="R212" s="44" t="e">
        <f t="shared" ref="R212:R275" ca="1" si="65">IF(OR(P212="",P212="Total"),"",V211)</f>
        <v>#N/A</v>
      </c>
      <c r="S212" s="37" t="e">
        <f ca="1">IF(P212="","",IF(P212="Total",SUM($S$19:S211),VLOOKUP($P212,$B$12:$L266,11,FALSE)))</f>
        <v>#N/A</v>
      </c>
      <c r="T212" s="44" t="e">
        <f ca="1">IF(payfreq="Annually",IF(P212="","",IF(P212="Total",SUM($T$19:T211),Adj_Rate*$R212)),IF(payfreq="Semiannually",IF(P212="","",IF(P212="Total",SUM($T$19:T211),Adj_Rate/2*$R212)),IF(payfreq="Quarterly",IF(P212="","",IF(P212="Total",SUM($T$19:T211),Adj_Rate/4*$R212)),IF(payfreq="Monthly",IF(P212="","",IF(P212="Total",SUM($T$19:T211),Adj_Rate/12*$R212)),""))))</f>
        <v>#N/A</v>
      </c>
      <c r="U212" s="37" t="e">
        <f t="shared" ref="U212:U275" ca="1" si="66">+IF(S212="","",S212-T212)</f>
        <v>#N/A</v>
      </c>
      <c r="V212" s="44" t="e">
        <f t="shared" ref="V212:V275" ca="1" si="67">IF(OR(P212="",P212="Total"),"",R212+T212-S212)</f>
        <v>#N/A</v>
      </c>
    </row>
    <row r="213" spans="2:22">
      <c r="B213" s="38">
        <v>194</v>
      </c>
      <c r="C213" s="77" t="e">
        <f t="shared" ref="C213:C276" ca="1" si="68">IF(Q213 &lt;&gt; "",Q213, "")</f>
        <v>#N/A</v>
      </c>
      <c r="D213" s="78" t="e">
        <f ca="1">+IF(AND(B213&lt;$G$7),VLOOKUP($B$1,Inventory!$A$1:$BC$500,35,FALSE),IF(AND(B213=$G$7,pmt_timing="End"),VLOOKUP($B$1,Inventory!$A$1:$BC$500,35,FALSE),0))</f>
        <v>#N/A</v>
      </c>
      <c r="E213" s="78">
        <v>0</v>
      </c>
      <c r="F213" s="78">
        <v>0</v>
      </c>
      <c r="G213" s="78">
        <v>0</v>
      </c>
      <c r="H213" s="78">
        <v>0</v>
      </c>
      <c r="I213" s="78">
        <v>0</v>
      </c>
      <c r="J213" s="78">
        <v>0</v>
      </c>
      <c r="K213" s="78">
        <v>0</v>
      </c>
      <c r="L213" s="36" t="e">
        <f t="shared" ca="1" si="63"/>
        <v>#N/A</v>
      </c>
      <c r="M213" s="37" t="e">
        <f t="shared" ca="1" si="61"/>
        <v>#N/A</v>
      </c>
      <c r="N213" s="37" t="e">
        <f t="shared" ca="1" si="62"/>
        <v>#N/A</v>
      </c>
      <c r="P213" s="35" t="e">
        <f t="shared" ref="P213:P276" ca="1" si="69">IF(P212&lt;term,P212+1,IF(P212=term,"Total",""))</f>
        <v>#N/A</v>
      </c>
      <c r="Q213" s="59" t="e">
        <f t="shared" ca="1" si="64"/>
        <v>#N/A</v>
      </c>
      <c r="R213" s="44" t="e">
        <f t="shared" ca="1" si="65"/>
        <v>#N/A</v>
      </c>
      <c r="S213" s="37" t="e">
        <f ca="1">IF(P213="","",IF(P213="Total",SUM($S$19:S212),VLOOKUP($P213,$B$12:$L267,11,FALSE)))</f>
        <v>#N/A</v>
      </c>
      <c r="T213" s="44" t="e">
        <f ca="1">IF(payfreq="Annually",IF(P213="","",IF(P213="Total",SUM($T$19:T212),Adj_Rate*$R213)),IF(payfreq="Semiannually",IF(P213="","",IF(P213="Total",SUM($T$19:T212),Adj_Rate/2*$R213)),IF(payfreq="Quarterly",IF(P213="","",IF(P213="Total",SUM($T$19:T212),Adj_Rate/4*$R213)),IF(payfreq="Monthly",IF(P213="","",IF(P213="Total",SUM($T$19:T212),Adj_Rate/12*$R213)),""))))</f>
        <v>#N/A</v>
      </c>
      <c r="U213" s="37" t="e">
        <f t="shared" ca="1" si="66"/>
        <v>#N/A</v>
      </c>
      <c r="V213" s="44" t="e">
        <f t="shared" ca="1" si="67"/>
        <v>#N/A</v>
      </c>
    </row>
    <row r="214" spans="2:22">
      <c r="B214" s="38">
        <v>195</v>
      </c>
      <c r="C214" s="77" t="e">
        <f t="shared" ca="1" si="68"/>
        <v>#N/A</v>
      </c>
      <c r="D214" s="78" t="e">
        <f ca="1">+IF(AND(B214&lt;$G$7),VLOOKUP($B$1,Inventory!$A$1:$BC$500,35,FALSE),IF(AND(B214=$G$7,pmt_timing="End"),VLOOKUP($B$1,Inventory!$A$1:$BC$500,35,FALSE),0))</f>
        <v>#N/A</v>
      </c>
      <c r="E214" s="78">
        <v>0</v>
      </c>
      <c r="F214" s="78">
        <v>0</v>
      </c>
      <c r="G214" s="78">
        <v>0</v>
      </c>
      <c r="H214" s="78">
        <v>0</v>
      </c>
      <c r="I214" s="78">
        <v>0</v>
      </c>
      <c r="J214" s="78">
        <v>0</v>
      </c>
      <c r="K214" s="78">
        <v>0</v>
      </c>
      <c r="L214" s="36" t="e">
        <f t="shared" ca="1" si="63"/>
        <v>#N/A</v>
      </c>
      <c r="M214" s="37" t="e">
        <f t="shared" ca="1" si="61"/>
        <v>#N/A</v>
      </c>
      <c r="N214" s="37" t="e">
        <f t="shared" ca="1" si="62"/>
        <v>#N/A</v>
      </c>
      <c r="P214" s="35" t="e">
        <f t="shared" ca="1" si="69"/>
        <v>#N/A</v>
      </c>
      <c r="Q214" s="59" t="e">
        <f t="shared" ca="1" si="64"/>
        <v>#N/A</v>
      </c>
      <c r="R214" s="44" t="e">
        <f t="shared" ca="1" si="65"/>
        <v>#N/A</v>
      </c>
      <c r="S214" s="37" t="e">
        <f ca="1">IF(P214="","",IF(P214="Total",SUM($S$19:S213),VLOOKUP($P214,$B$12:$L268,11,FALSE)))</f>
        <v>#N/A</v>
      </c>
      <c r="T214" s="44" t="e">
        <f ca="1">IF(payfreq="Annually",IF(P214="","",IF(P214="Total",SUM($T$19:T213),Adj_Rate*$R214)),IF(payfreq="Semiannually",IF(P214="","",IF(P214="Total",SUM($T$19:T213),Adj_Rate/2*$R214)),IF(payfreq="Quarterly",IF(P214="","",IF(P214="Total",SUM($T$19:T213),Adj_Rate/4*$R214)),IF(payfreq="Monthly",IF(P214="","",IF(P214="Total",SUM($T$19:T213),Adj_Rate/12*$R214)),""))))</f>
        <v>#N/A</v>
      </c>
      <c r="U214" s="37" t="e">
        <f t="shared" ca="1" si="66"/>
        <v>#N/A</v>
      </c>
      <c r="V214" s="44" t="e">
        <f t="shared" ca="1" si="67"/>
        <v>#N/A</v>
      </c>
    </row>
    <row r="215" spans="2:22">
      <c r="B215" s="38">
        <v>196</v>
      </c>
      <c r="C215" s="77" t="e">
        <f t="shared" ca="1" si="68"/>
        <v>#N/A</v>
      </c>
      <c r="D215" s="78" t="e">
        <f ca="1">+IF(AND(B215&lt;$G$7),VLOOKUP($B$1,Inventory!$A$1:$BC$500,35,FALSE),IF(AND(B215=$G$7,pmt_timing="End"),VLOOKUP($B$1,Inventory!$A$1:$BC$500,35,FALSE),0))</f>
        <v>#N/A</v>
      </c>
      <c r="E215" s="78">
        <v>0</v>
      </c>
      <c r="F215" s="78">
        <v>0</v>
      </c>
      <c r="G215" s="78">
        <v>0</v>
      </c>
      <c r="H215" s="78">
        <v>0</v>
      </c>
      <c r="I215" s="78">
        <v>0</v>
      </c>
      <c r="J215" s="78">
        <v>0</v>
      </c>
      <c r="K215" s="78">
        <v>0</v>
      </c>
      <c r="L215" s="36" t="e">
        <f t="shared" ca="1" si="63"/>
        <v>#N/A</v>
      </c>
      <c r="M215" s="37" t="e">
        <f t="shared" ca="1" si="61"/>
        <v>#N/A</v>
      </c>
      <c r="N215" s="37" t="e">
        <f t="shared" ca="1" si="62"/>
        <v>#N/A</v>
      </c>
      <c r="P215" s="35" t="e">
        <f t="shared" ca="1" si="69"/>
        <v>#N/A</v>
      </c>
      <c r="Q215" s="59" t="e">
        <f t="shared" ca="1" si="64"/>
        <v>#N/A</v>
      </c>
      <c r="R215" s="44" t="e">
        <f t="shared" ca="1" si="65"/>
        <v>#N/A</v>
      </c>
      <c r="S215" s="37" t="e">
        <f ca="1">IF(P215="","",IF(P215="Total",SUM($S$19:S214),VLOOKUP($P215,$B$12:$L269,11,FALSE)))</f>
        <v>#N/A</v>
      </c>
      <c r="T215" s="44" t="e">
        <f ca="1">IF(payfreq="Annually",IF(P215="","",IF(P215="Total",SUM($T$19:T214),Adj_Rate*$R215)),IF(payfreq="Semiannually",IF(P215="","",IF(P215="Total",SUM($T$19:T214),Adj_Rate/2*$R215)),IF(payfreq="Quarterly",IF(P215="","",IF(P215="Total",SUM($T$19:T214),Adj_Rate/4*$R215)),IF(payfreq="Monthly",IF(P215="","",IF(P215="Total",SUM($T$19:T214),Adj_Rate/12*$R215)),""))))</f>
        <v>#N/A</v>
      </c>
      <c r="U215" s="37" t="e">
        <f t="shared" ca="1" si="66"/>
        <v>#N/A</v>
      </c>
      <c r="V215" s="44" t="e">
        <f t="shared" ca="1" si="67"/>
        <v>#N/A</v>
      </c>
    </row>
    <row r="216" spans="2:22">
      <c r="B216" s="38">
        <v>197</v>
      </c>
      <c r="C216" s="77" t="e">
        <f t="shared" ca="1" si="68"/>
        <v>#N/A</v>
      </c>
      <c r="D216" s="78" t="e">
        <f ca="1">+IF(AND(B216&lt;$G$7),VLOOKUP($B$1,Inventory!$A$1:$BC$500,35,FALSE),IF(AND(B216=$G$7,pmt_timing="End"),VLOOKUP($B$1,Inventory!$A$1:$BC$500,35,FALSE),0))</f>
        <v>#N/A</v>
      </c>
      <c r="E216" s="78">
        <v>0</v>
      </c>
      <c r="F216" s="78">
        <v>0</v>
      </c>
      <c r="G216" s="78">
        <v>0</v>
      </c>
      <c r="H216" s="78">
        <v>0</v>
      </c>
      <c r="I216" s="78">
        <v>0</v>
      </c>
      <c r="J216" s="78">
        <v>0</v>
      </c>
      <c r="K216" s="78">
        <v>0</v>
      </c>
      <c r="L216" s="36" t="e">
        <f t="shared" ca="1" si="63"/>
        <v>#N/A</v>
      </c>
      <c r="M216" s="37" t="e">
        <f t="shared" ca="1" si="61"/>
        <v>#N/A</v>
      </c>
      <c r="N216" s="37" t="e">
        <f t="shared" ca="1" si="62"/>
        <v>#N/A</v>
      </c>
      <c r="P216" s="35" t="e">
        <f t="shared" ca="1" si="69"/>
        <v>#N/A</v>
      </c>
      <c r="Q216" s="59" t="e">
        <f t="shared" ca="1" si="64"/>
        <v>#N/A</v>
      </c>
      <c r="R216" s="44" t="e">
        <f t="shared" ca="1" si="65"/>
        <v>#N/A</v>
      </c>
      <c r="S216" s="37" t="e">
        <f ca="1">IF(P216="","",IF(P216="Total",SUM($S$19:S215),VLOOKUP($P216,$B$12:$L270,11,FALSE)))</f>
        <v>#N/A</v>
      </c>
      <c r="T216" s="44" t="e">
        <f ca="1">IF(payfreq="Annually",IF(P216="","",IF(P216="Total",SUM($T$19:T215),Adj_Rate*$R216)),IF(payfreq="Semiannually",IF(P216="","",IF(P216="Total",SUM($T$19:T215),Adj_Rate/2*$R216)),IF(payfreq="Quarterly",IF(P216="","",IF(P216="Total",SUM($T$19:T215),Adj_Rate/4*$R216)),IF(payfreq="Monthly",IF(P216="","",IF(P216="Total",SUM($T$19:T215),Adj_Rate/12*$R216)),""))))</f>
        <v>#N/A</v>
      </c>
      <c r="U216" s="37" t="e">
        <f t="shared" ca="1" si="66"/>
        <v>#N/A</v>
      </c>
      <c r="V216" s="44" t="e">
        <f t="shared" ca="1" si="67"/>
        <v>#N/A</v>
      </c>
    </row>
    <row r="217" spans="2:22">
      <c r="B217" s="38">
        <v>198</v>
      </c>
      <c r="C217" s="77" t="e">
        <f t="shared" ca="1" si="68"/>
        <v>#N/A</v>
      </c>
      <c r="D217" s="78" t="e">
        <f ca="1">+IF(AND(B217&lt;$G$7),VLOOKUP($B$1,Inventory!$A$1:$BC$500,35,FALSE),IF(AND(B217=$G$7,pmt_timing="End"),VLOOKUP($B$1,Inventory!$A$1:$BC$500,35,FALSE),0))</f>
        <v>#N/A</v>
      </c>
      <c r="E217" s="78">
        <v>0</v>
      </c>
      <c r="F217" s="78">
        <v>0</v>
      </c>
      <c r="G217" s="78">
        <v>0</v>
      </c>
      <c r="H217" s="78">
        <v>0</v>
      </c>
      <c r="I217" s="78">
        <v>0</v>
      </c>
      <c r="J217" s="78">
        <v>0</v>
      </c>
      <c r="K217" s="78">
        <v>0</v>
      </c>
      <c r="L217" s="36" t="e">
        <f t="shared" ca="1" si="63"/>
        <v>#N/A</v>
      </c>
      <c r="M217" s="37" t="e">
        <f t="shared" ca="1" si="61"/>
        <v>#N/A</v>
      </c>
      <c r="N217" s="37" t="e">
        <f t="shared" ca="1" si="62"/>
        <v>#N/A</v>
      </c>
      <c r="P217" s="35" t="e">
        <f t="shared" ca="1" si="69"/>
        <v>#N/A</v>
      </c>
      <c r="Q217" s="59" t="e">
        <f t="shared" ca="1" si="64"/>
        <v>#N/A</v>
      </c>
      <c r="R217" s="44" t="e">
        <f t="shared" ca="1" si="65"/>
        <v>#N/A</v>
      </c>
      <c r="S217" s="37" t="e">
        <f ca="1">IF(P217="","",IF(P217="Total",SUM($S$19:S216),VLOOKUP($P217,$B$12:$L271,11,FALSE)))</f>
        <v>#N/A</v>
      </c>
      <c r="T217" s="44" t="e">
        <f ca="1">IF(payfreq="Annually",IF(P217="","",IF(P217="Total",SUM($T$19:T216),Adj_Rate*$R217)),IF(payfreq="Semiannually",IF(P217="","",IF(P217="Total",SUM($T$19:T216),Adj_Rate/2*$R217)),IF(payfreq="Quarterly",IF(P217="","",IF(P217="Total",SUM($T$19:T216),Adj_Rate/4*$R217)),IF(payfreq="Monthly",IF(P217="","",IF(P217="Total",SUM($T$19:T216),Adj_Rate/12*$R217)),""))))</f>
        <v>#N/A</v>
      </c>
      <c r="U217" s="37" t="e">
        <f t="shared" ca="1" si="66"/>
        <v>#N/A</v>
      </c>
      <c r="V217" s="44" t="e">
        <f t="shared" ca="1" si="67"/>
        <v>#N/A</v>
      </c>
    </row>
    <row r="218" spans="2:22">
      <c r="B218" s="38">
        <v>199</v>
      </c>
      <c r="C218" s="77" t="e">
        <f t="shared" ca="1" si="68"/>
        <v>#N/A</v>
      </c>
      <c r="D218" s="78" t="e">
        <f ca="1">+IF(AND(B218&lt;$G$7),VLOOKUP($B$1,Inventory!$A$1:$BC$500,35,FALSE),IF(AND(B218=$G$7,pmt_timing="End"),VLOOKUP($B$1,Inventory!$A$1:$BC$500,35,FALSE),0))</f>
        <v>#N/A</v>
      </c>
      <c r="E218" s="78">
        <v>0</v>
      </c>
      <c r="F218" s="78">
        <v>0</v>
      </c>
      <c r="G218" s="78">
        <v>0</v>
      </c>
      <c r="H218" s="78">
        <v>0</v>
      </c>
      <c r="I218" s="78">
        <v>0</v>
      </c>
      <c r="J218" s="78">
        <v>0</v>
      </c>
      <c r="K218" s="78">
        <v>0</v>
      </c>
      <c r="L218" s="36" t="e">
        <f t="shared" ca="1" si="63"/>
        <v>#N/A</v>
      </c>
      <c r="M218" s="37" t="e">
        <f t="shared" ca="1" si="61"/>
        <v>#N/A</v>
      </c>
      <c r="N218" s="37" t="e">
        <f t="shared" ca="1" si="62"/>
        <v>#N/A</v>
      </c>
      <c r="P218" s="35" t="e">
        <f t="shared" ca="1" si="69"/>
        <v>#N/A</v>
      </c>
      <c r="Q218" s="59" t="e">
        <f t="shared" ca="1" si="64"/>
        <v>#N/A</v>
      </c>
      <c r="R218" s="44" t="e">
        <f t="shared" ca="1" si="65"/>
        <v>#N/A</v>
      </c>
      <c r="S218" s="37" t="e">
        <f ca="1">IF(P218="","",IF(P218="Total",SUM($S$19:S217),VLOOKUP($P218,$B$12:$L272,11,FALSE)))</f>
        <v>#N/A</v>
      </c>
      <c r="T218" s="44" t="e">
        <f ca="1">IF(payfreq="Annually",IF(P218="","",IF(P218="Total",SUM($T$19:T217),Adj_Rate*$R218)),IF(payfreq="Semiannually",IF(P218="","",IF(P218="Total",SUM($T$19:T217),Adj_Rate/2*$R218)),IF(payfreq="Quarterly",IF(P218="","",IF(P218="Total",SUM($T$19:T217),Adj_Rate/4*$R218)),IF(payfreq="Monthly",IF(P218="","",IF(P218="Total",SUM($T$19:T217),Adj_Rate/12*$R218)),""))))</f>
        <v>#N/A</v>
      </c>
      <c r="U218" s="37" t="e">
        <f t="shared" ca="1" si="66"/>
        <v>#N/A</v>
      </c>
      <c r="V218" s="44" t="e">
        <f t="shared" ca="1" si="67"/>
        <v>#N/A</v>
      </c>
    </row>
    <row r="219" spans="2:22">
      <c r="B219" s="38">
        <v>200</v>
      </c>
      <c r="C219" s="77" t="e">
        <f t="shared" ca="1" si="68"/>
        <v>#N/A</v>
      </c>
      <c r="D219" s="78" t="e">
        <f ca="1">+IF(AND(B219&lt;$G$7),VLOOKUP($B$1,Inventory!$A$1:$BC$500,35,FALSE),IF(AND(B219=$G$7,pmt_timing="End"),VLOOKUP($B$1,Inventory!$A$1:$BC$500,35,FALSE),0))</f>
        <v>#N/A</v>
      </c>
      <c r="E219" s="78">
        <v>0</v>
      </c>
      <c r="F219" s="78">
        <v>0</v>
      </c>
      <c r="G219" s="78">
        <v>0</v>
      </c>
      <c r="H219" s="78">
        <v>0</v>
      </c>
      <c r="I219" s="78">
        <v>0</v>
      </c>
      <c r="J219" s="78">
        <v>0</v>
      </c>
      <c r="K219" s="78">
        <v>0</v>
      </c>
      <c r="L219" s="36" t="e">
        <f t="shared" ca="1" si="63"/>
        <v>#N/A</v>
      </c>
      <c r="M219" s="37" t="e">
        <f t="shared" ca="1" si="61"/>
        <v>#N/A</v>
      </c>
      <c r="N219" s="37" t="e">
        <f t="shared" ca="1" si="62"/>
        <v>#N/A</v>
      </c>
      <c r="P219" s="35" t="e">
        <f t="shared" ca="1" si="69"/>
        <v>#N/A</v>
      </c>
      <c r="Q219" s="59" t="e">
        <f t="shared" ca="1" si="64"/>
        <v>#N/A</v>
      </c>
      <c r="R219" s="44" t="e">
        <f t="shared" ca="1" si="65"/>
        <v>#N/A</v>
      </c>
      <c r="S219" s="37" t="e">
        <f ca="1">IF(P219="","",IF(P219="Total",SUM($S$19:S218),VLOOKUP($P219,$B$12:$L273,11,FALSE)))</f>
        <v>#N/A</v>
      </c>
      <c r="T219" s="44" t="e">
        <f ca="1">IF(payfreq="Annually",IF(P219="","",IF(P219="Total",SUM($T$19:T218),Adj_Rate*$R219)),IF(payfreq="Semiannually",IF(P219="","",IF(P219="Total",SUM($T$19:T218),Adj_Rate/2*$R219)),IF(payfreq="Quarterly",IF(P219="","",IF(P219="Total",SUM($T$19:T218),Adj_Rate/4*$R219)),IF(payfreq="Monthly",IF(P219="","",IF(P219="Total",SUM($T$19:T218),Adj_Rate/12*$R219)),""))))</f>
        <v>#N/A</v>
      </c>
      <c r="U219" s="37" t="e">
        <f t="shared" ca="1" si="66"/>
        <v>#N/A</v>
      </c>
      <c r="V219" s="44" t="e">
        <f t="shared" ca="1" si="67"/>
        <v>#N/A</v>
      </c>
    </row>
    <row r="220" spans="2:22">
      <c r="B220" s="38">
        <v>201</v>
      </c>
      <c r="C220" s="77" t="e">
        <f t="shared" ca="1" si="68"/>
        <v>#N/A</v>
      </c>
      <c r="D220" s="78" t="e">
        <f ca="1">+IF(AND(B220&lt;$G$7),VLOOKUP($B$1,Inventory!$A$1:$BC$500,35,FALSE),IF(AND(B220=$G$7,pmt_timing="End"),VLOOKUP($B$1,Inventory!$A$1:$BC$500,35,FALSE),0))</f>
        <v>#N/A</v>
      </c>
      <c r="E220" s="78">
        <v>0</v>
      </c>
      <c r="F220" s="78">
        <v>0</v>
      </c>
      <c r="G220" s="78">
        <v>0</v>
      </c>
      <c r="H220" s="78">
        <v>0</v>
      </c>
      <c r="I220" s="78">
        <v>0</v>
      </c>
      <c r="J220" s="78">
        <v>0</v>
      </c>
      <c r="K220" s="78">
        <v>0</v>
      </c>
      <c r="L220" s="36" t="e">
        <f t="shared" ca="1" si="63"/>
        <v>#N/A</v>
      </c>
      <c r="M220" s="37" t="e">
        <f t="shared" ca="1" si="61"/>
        <v>#N/A</v>
      </c>
      <c r="N220" s="37" t="e">
        <f t="shared" ca="1" si="62"/>
        <v>#N/A</v>
      </c>
      <c r="P220" s="35" t="e">
        <f t="shared" ca="1" si="69"/>
        <v>#N/A</v>
      </c>
      <c r="Q220" s="59" t="e">
        <f t="shared" ca="1" si="64"/>
        <v>#N/A</v>
      </c>
      <c r="R220" s="44" t="e">
        <f t="shared" ca="1" si="65"/>
        <v>#N/A</v>
      </c>
      <c r="S220" s="37" t="e">
        <f ca="1">IF(P220="","",IF(P220="Total",SUM($S$19:S219),VLOOKUP($P220,$B$12:$L274,11,FALSE)))</f>
        <v>#N/A</v>
      </c>
      <c r="T220" s="44" t="e">
        <f ca="1">IF(payfreq="Annually",IF(P220="","",IF(P220="Total",SUM($T$19:T219),Adj_Rate*$R220)),IF(payfreq="Semiannually",IF(P220="","",IF(P220="Total",SUM($T$19:T219),Adj_Rate/2*$R220)),IF(payfreq="Quarterly",IF(P220="","",IF(P220="Total",SUM($T$19:T219),Adj_Rate/4*$R220)),IF(payfreq="Monthly",IF(P220="","",IF(P220="Total",SUM($T$19:T219),Adj_Rate/12*$R220)),""))))</f>
        <v>#N/A</v>
      </c>
      <c r="U220" s="37" t="e">
        <f t="shared" ca="1" si="66"/>
        <v>#N/A</v>
      </c>
      <c r="V220" s="44" t="e">
        <f t="shared" ca="1" si="67"/>
        <v>#N/A</v>
      </c>
    </row>
    <row r="221" spans="2:22">
      <c r="B221" s="38">
        <v>202</v>
      </c>
      <c r="C221" s="77" t="e">
        <f t="shared" ca="1" si="68"/>
        <v>#N/A</v>
      </c>
      <c r="D221" s="78" t="e">
        <f ca="1">+IF(AND(B221&lt;$G$7),VLOOKUP($B$1,Inventory!$A$1:$BC$500,35,FALSE),IF(AND(B221=$G$7,pmt_timing="End"),VLOOKUP($B$1,Inventory!$A$1:$BC$500,35,FALSE),0))</f>
        <v>#N/A</v>
      </c>
      <c r="E221" s="78">
        <v>0</v>
      </c>
      <c r="F221" s="78">
        <v>0</v>
      </c>
      <c r="G221" s="78">
        <v>0</v>
      </c>
      <c r="H221" s="78">
        <v>0</v>
      </c>
      <c r="I221" s="78">
        <v>0</v>
      </c>
      <c r="J221" s="78">
        <v>0</v>
      </c>
      <c r="K221" s="78">
        <v>0</v>
      </c>
      <c r="L221" s="36" t="e">
        <f t="shared" ca="1" si="63"/>
        <v>#N/A</v>
      </c>
      <c r="M221" s="37" t="e">
        <f t="shared" ca="1" si="61"/>
        <v>#N/A</v>
      </c>
      <c r="N221" s="37" t="e">
        <f t="shared" ca="1" si="62"/>
        <v>#N/A</v>
      </c>
      <c r="P221" s="35" t="e">
        <f t="shared" ca="1" si="69"/>
        <v>#N/A</v>
      </c>
      <c r="Q221" s="59" t="e">
        <f t="shared" ca="1" si="64"/>
        <v>#N/A</v>
      </c>
      <c r="R221" s="44" t="e">
        <f t="shared" ca="1" si="65"/>
        <v>#N/A</v>
      </c>
      <c r="S221" s="37" t="e">
        <f ca="1">IF(P221="","",IF(P221="Total",SUM($S$19:S220),VLOOKUP($P221,$B$12:$L275,11,FALSE)))</f>
        <v>#N/A</v>
      </c>
      <c r="T221" s="44" t="e">
        <f ca="1">IF(payfreq="Annually",IF(P221="","",IF(P221="Total",SUM($T$19:T220),Adj_Rate*$R221)),IF(payfreq="Semiannually",IF(P221="","",IF(P221="Total",SUM($T$19:T220),Adj_Rate/2*$R221)),IF(payfreq="Quarterly",IF(P221="","",IF(P221="Total",SUM($T$19:T220),Adj_Rate/4*$R221)),IF(payfreq="Monthly",IF(P221="","",IF(P221="Total",SUM($T$19:T220),Adj_Rate/12*$R221)),""))))</f>
        <v>#N/A</v>
      </c>
      <c r="U221" s="37" t="e">
        <f t="shared" ca="1" si="66"/>
        <v>#N/A</v>
      </c>
      <c r="V221" s="44" t="e">
        <f t="shared" ca="1" si="67"/>
        <v>#N/A</v>
      </c>
    </row>
    <row r="222" spans="2:22">
      <c r="B222" s="38">
        <v>203</v>
      </c>
      <c r="C222" s="77" t="e">
        <f t="shared" ca="1" si="68"/>
        <v>#N/A</v>
      </c>
      <c r="D222" s="78" t="e">
        <f ca="1">+IF(AND(B222&lt;$G$7),VLOOKUP($B$1,Inventory!$A$1:$BC$500,35,FALSE),IF(AND(B222=$G$7,pmt_timing="End"),VLOOKUP($B$1,Inventory!$A$1:$BC$500,35,FALSE),0))</f>
        <v>#N/A</v>
      </c>
      <c r="E222" s="78">
        <v>0</v>
      </c>
      <c r="F222" s="78">
        <v>0</v>
      </c>
      <c r="G222" s="78">
        <v>0</v>
      </c>
      <c r="H222" s="78">
        <v>0</v>
      </c>
      <c r="I222" s="78">
        <v>0</v>
      </c>
      <c r="J222" s="78">
        <v>0</v>
      </c>
      <c r="K222" s="78">
        <v>0</v>
      </c>
      <c r="L222" s="36" t="e">
        <f t="shared" ca="1" si="63"/>
        <v>#N/A</v>
      </c>
      <c r="M222" s="37" t="e">
        <f t="shared" ca="1" si="61"/>
        <v>#N/A</v>
      </c>
      <c r="N222" s="37" t="e">
        <f t="shared" ca="1" si="62"/>
        <v>#N/A</v>
      </c>
      <c r="P222" s="35" t="e">
        <f t="shared" ca="1" si="69"/>
        <v>#N/A</v>
      </c>
      <c r="Q222" s="59" t="e">
        <f t="shared" ca="1" si="64"/>
        <v>#N/A</v>
      </c>
      <c r="R222" s="44" t="e">
        <f t="shared" ca="1" si="65"/>
        <v>#N/A</v>
      </c>
      <c r="S222" s="37" t="e">
        <f ca="1">IF(P222="","",IF(P222="Total",SUM($S$19:S221),VLOOKUP($P222,$B$12:$L276,11,FALSE)))</f>
        <v>#N/A</v>
      </c>
      <c r="T222" s="44" t="e">
        <f ca="1">IF(payfreq="Annually",IF(P222="","",IF(P222="Total",SUM($T$19:T221),Adj_Rate*$R222)),IF(payfreq="Semiannually",IF(P222="","",IF(P222="Total",SUM($T$19:T221),Adj_Rate/2*$R222)),IF(payfreq="Quarterly",IF(P222="","",IF(P222="Total",SUM($T$19:T221),Adj_Rate/4*$R222)),IF(payfreq="Monthly",IF(P222="","",IF(P222="Total",SUM($T$19:T221),Adj_Rate/12*$R222)),""))))</f>
        <v>#N/A</v>
      </c>
      <c r="U222" s="37" t="e">
        <f t="shared" ca="1" si="66"/>
        <v>#N/A</v>
      </c>
      <c r="V222" s="44" t="e">
        <f t="shared" ca="1" si="67"/>
        <v>#N/A</v>
      </c>
    </row>
    <row r="223" spans="2:22">
      <c r="B223" s="38">
        <v>204</v>
      </c>
      <c r="C223" s="77" t="e">
        <f t="shared" ca="1" si="68"/>
        <v>#N/A</v>
      </c>
      <c r="D223" s="78" t="e">
        <f ca="1">+IF(AND(B223&lt;$G$7),VLOOKUP($B$1,Inventory!$A$1:$BC$500,35,FALSE),IF(AND(B223=$G$7,pmt_timing="End"),VLOOKUP($B$1,Inventory!$A$1:$BC$500,35,FALSE),0))</f>
        <v>#N/A</v>
      </c>
      <c r="E223" s="78">
        <v>0</v>
      </c>
      <c r="F223" s="78">
        <v>0</v>
      </c>
      <c r="G223" s="78">
        <v>0</v>
      </c>
      <c r="H223" s="78">
        <v>0</v>
      </c>
      <c r="I223" s="78">
        <v>0</v>
      </c>
      <c r="J223" s="78">
        <v>0</v>
      </c>
      <c r="K223" s="78">
        <v>0</v>
      </c>
      <c r="L223" s="36" t="e">
        <f t="shared" ca="1" si="63"/>
        <v>#N/A</v>
      </c>
      <c r="M223" s="37" t="e">
        <f t="shared" ca="1" si="61"/>
        <v>#N/A</v>
      </c>
      <c r="N223" s="37" t="e">
        <f t="shared" ca="1" si="62"/>
        <v>#N/A</v>
      </c>
      <c r="P223" s="35" t="e">
        <f t="shared" ca="1" si="69"/>
        <v>#N/A</v>
      </c>
      <c r="Q223" s="59" t="e">
        <f t="shared" ca="1" si="64"/>
        <v>#N/A</v>
      </c>
      <c r="R223" s="44" t="e">
        <f t="shared" ca="1" si="65"/>
        <v>#N/A</v>
      </c>
      <c r="S223" s="37" t="e">
        <f ca="1">IF(P223="","",IF(P223="Total",SUM($S$19:S222),VLOOKUP($P223,$B$12:$L277,11,FALSE)))</f>
        <v>#N/A</v>
      </c>
      <c r="T223" s="44" t="e">
        <f ca="1">IF(payfreq="Annually",IF(P223="","",IF(P223="Total",SUM($T$19:T222),Adj_Rate*$R223)),IF(payfreq="Semiannually",IF(P223="","",IF(P223="Total",SUM($T$19:T222),Adj_Rate/2*$R223)),IF(payfreq="Quarterly",IF(P223="","",IF(P223="Total",SUM($T$19:T222),Adj_Rate/4*$R223)),IF(payfreq="Monthly",IF(P223="","",IF(P223="Total",SUM($T$19:T222),Adj_Rate/12*$R223)),""))))</f>
        <v>#N/A</v>
      </c>
      <c r="U223" s="37" t="e">
        <f t="shared" ca="1" si="66"/>
        <v>#N/A</v>
      </c>
      <c r="V223" s="44" t="e">
        <f t="shared" ca="1" si="67"/>
        <v>#N/A</v>
      </c>
    </row>
    <row r="224" spans="2:22">
      <c r="B224" s="38">
        <v>205</v>
      </c>
      <c r="C224" s="77" t="e">
        <f t="shared" ca="1" si="68"/>
        <v>#N/A</v>
      </c>
      <c r="D224" s="78" t="e">
        <f ca="1">+IF(AND(B224&lt;$G$7),VLOOKUP($B$1,Inventory!$A$1:$BC$500,35,FALSE),IF(AND(B224=$G$7,pmt_timing="End"),VLOOKUP($B$1,Inventory!$A$1:$BC$500,35,FALSE),0))</f>
        <v>#N/A</v>
      </c>
      <c r="E224" s="78">
        <v>0</v>
      </c>
      <c r="F224" s="78">
        <v>0</v>
      </c>
      <c r="G224" s="78">
        <v>0</v>
      </c>
      <c r="H224" s="78">
        <v>0</v>
      </c>
      <c r="I224" s="78">
        <v>0</v>
      </c>
      <c r="J224" s="78">
        <v>0</v>
      </c>
      <c r="K224" s="78">
        <v>0</v>
      </c>
      <c r="L224" s="36" t="e">
        <f t="shared" ca="1" si="63"/>
        <v>#N/A</v>
      </c>
      <c r="M224" s="37" t="e">
        <f t="shared" ca="1" si="61"/>
        <v>#N/A</v>
      </c>
      <c r="N224" s="37" t="e">
        <f t="shared" ca="1" si="62"/>
        <v>#N/A</v>
      </c>
      <c r="P224" s="35" t="e">
        <f t="shared" ca="1" si="69"/>
        <v>#N/A</v>
      </c>
      <c r="Q224" s="59" t="e">
        <f t="shared" ca="1" si="64"/>
        <v>#N/A</v>
      </c>
      <c r="R224" s="44" t="e">
        <f t="shared" ca="1" si="65"/>
        <v>#N/A</v>
      </c>
      <c r="S224" s="37" t="e">
        <f ca="1">IF(P224="","",IF(P224="Total",SUM($S$19:S223),VLOOKUP($P224,$B$12:$L278,11,FALSE)))</f>
        <v>#N/A</v>
      </c>
      <c r="T224" s="44" t="e">
        <f ca="1">IF(payfreq="Annually",IF(P224="","",IF(P224="Total",SUM($T$19:T223),Adj_Rate*$R224)),IF(payfreq="Semiannually",IF(P224="","",IF(P224="Total",SUM($T$19:T223),Adj_Rate/2*$R224)),IF(payfreq="Quarterly",IF(P224="","",IF(P224="Total",SUM($T$19:T223),Adj_Rate/4*$R224)),IF(payfreq="Monthly",IF(P224="","",IF(P224="Total",SUM($T$19:T223),Adj_Rate/12*$R224)),""))))</f>
        <v>#N/A</v>
      </c>
      <c r="U224" s="37" t="e">
        <f t="shared" ca="1" si="66"/>
        <v>#N/A</v>
      </c>
      <c r="V224" s="44" t="e">
        <f t="shared" ca="1" si="67"/>
        <v>#N/A</v>
      </c>
    </row>
    <row r="225" spans="2:22">
      <c r="B225" s="38">
        <v>206</v>
      </c>
      <c r="C225" s="77" t="e">
        <f t="shared" ca="1" si="68"/>
        <v>#N/A</v>
      </c>
      <c r="D225" s="78" t="e">
        <f ca="1">+IF(AND(B225&lt;$G$7),VLOOKUP($B$1,Inventory!$A$1:$BC$500,35,FALSE),IF(AND(B225=$G$7,pmt_timing="End"),VLOOKUP($B$1,Inventory!$A$1:$BC$500,35,FALSE),0))</f>
        <v>#N/A</v>
      </c>
      <c r="E225" s="78">
        <v>0</v>
      </c>
      <c r="F225" s="78">
        <v>0</v>
      </c>
      <c r="G225" s="78">
        <v>0</v>
      </c>
      <c r="H225" s="78">
        <v>0</v>
      </c>
      <c r="I225" s="78">
        <v>0</v>
      </c>
      <c r="J225" s="78">
        <v>0</v>
      </c>
      <c r="K225" s="78">
        <v>0</v>
      </c>
      <c r="L225" s="36" t="e">
        <f t="shared" ca="1" si="63"/>
        <v>#N/A</v>
      </c>
      <c r="M225" s="37" t="e">
        <f t="shared" ca="1" si="61"/>
        <v>#N/A</v>
      </c>
      <c r="N225" s="37" t="e">
        <f t="shared" ca="1" si="62"/>
        <v>#N/A</v>
      </c>
      <c r="P225" s="35" t="e">
        <f t="shared" ca="1" si="69"/>
        <v>#N/A</v>
      </c>
      <c r="Q225" s="59" t="e">
        <f t="shared" ca="1" si="64"/>
        <v>#N/A</v>
      </c>
      <c r="R225" s="44" t="e">
        <f t="shared" ca="1" si="65"/>
        <v>#N/A</v>
      </c>
      <c r="S225" s="37" t="e">
        <f ca="1">IF(P225="","",IF(P225="Total",SUM($S$19:S224),VLOOKUP($P225,$B$12:$L279,11,FALSE)))</f>
        <v>#N/A</v>
      </c>
      <c r="T225" s="44" t="e">
        <f ca="1">IF(payfreq="Annually",IF(P225="","",IF(P225="Total",SUM($T$19:T224),Adj_Rate*$R225)),IF(payfreq="Semiannually",IF(P225="","",IF(P225="Total",SUM($T$19:T224),Adj_Rate/2*$R225)),IF(payfreq="Quarterly",IF(P225="","",IF(P225="Total",SUM($T$19:T224),Adj_Rate/4*$R225)),IF(payfreq="Monthly",IF(P225="","",IF(P225="Total",SUM($T$19:T224),Adj_Rate/12*$R225)),""))))</f>
        <v>#N/A</v>
      </c>
      <c r="U225" s="37" t="e">
        <f t="shared" ca="1" si="66"/>
        <v>#N/A</v>
      </c>
      <c r="V225" s="44" t="e">
        <f t="shared" ca="1" si="67"/>
        <v>#N/A</v>
      </c>
    </row>
    <row r="226" spans="2:22">
      <c r="B226" s="38">
        <v>207</v>
      </c>
      <c r="C226" s="77" t="e">
        <f t="shared" ca="1" si="68"/>
        <v>#N/A</v>
      </c>
      <c r="D226" s="78" t="e">
        <f ca="1">+IF(AND(B226&lt;$G$7),VLOOKUP($B$1,Inventory!$A$1:$BC$500,35,FALSE),IF(AND(B226=$G$7,pmt_timing="End"),VLOOKUP($B$1,Inventory!$A$1:$BC$500,35,FALSE),0))</f>
        <v>#N/A</v>
      </c>
      <c r="E226" s="78">
        <v>0</v>
      </c>
      <c r="F226" s="78">
        <v>0</v>
      </c>
      <c r="G226" s="78">
        <v>0</v>
      </c>
      <c r="H226" s="78">
        <v>0</v>
      </c>
      <c r="I226" s="78">
        <v>0</v>
      </c>
      <c r="J226" s="78">
        <v>0</v>
      </c>
      <c r="K226" s="78">
        <v>0</v>
      </c>
      <c r="L226" s="36" t="e">
        <f t="shared" ca="1" si="63"/>
        <v>#N/A</v>
      </c>
      <c r="M226" s="37" t="e">
        <f t="shared" ca="1" si="61"/>
        <v>#N/A</v>
      </c>
      <c r="N226" s="37" t="e">
        <f t="shared" ca="1" si="62"/>
        <v>#N/A</v>
      </c>
      <c r="P226" s="35" t="e">
        <f t="shared" ca="1" si="69"/>
        <v>#N/A</v>
      </c>
      <c r="Q226" s="59" t="e">
        <f t="shared" ca="1" si="64"/>
        <v>#N/A</v>
      </c>
      <c r="R226" s="44" t="e">
        <f t="shared" ca="1" si="65"/>
        <v>#N/A</v>
      </c>
      <c r="S226" s="37" t="e">
        <f ca="1">IF(P226="","",IF(P226="Total",SUM($S$19:S225),VLOOKUP($P226,$B$12:$L280,11,FALSE)))</f>
        <v>#N/A</v>
      </c>
      <c r="T226" s="44" t="e">
        <f ca="1">IF(payfreq="Annually",IF(P226="","",IF(P226="Total",SUM($T$19:T225),Adj_Rate*$R226)),IF(payfreq="Semiannually",IF(P226="","",IF(P226="Total",SUM($T$19:T225),Adj_Rate/2*$R226)),IF(payfreq="Quarterly",IF(P226="","",IF(P226="Total",SUM($T$19:T225),Adj_Rate/4*$R226)),IF(payfreq="Monthly",IF(P226="","",IF(P226="Total",SUM($T$19:T225),Adj_Rate/12*$R226)),""))))</f>
        <v>#N/A</v>
      </c>
      <c r="U226" s="37" t="e">
        <f t="shared" ca="1" si="66"/>
        <v>#N/A</v>
      </c>
      <c r="V226" s="44" t="e">
        <f t="shared" ca="1" si="67"/>
        <v>#N/A</v>
      </c>
    </row>
    <row r="227" spans="2:22">
      <c r="B227" s="38">
        <v>208</v>
      </c>
      <c r="C227" s="77" t="e">
        <f t="shared" ca="1" si="68"/>
        <v>#N/A</v>
      </c>
      <c r="D227" s="78" t="e">
        <f ca="1">+IF(AND(B227&lt;$G$7),VLOOKUP($B$1,Inventory!$A$1:$BC$500,35,FALSE),IF(AND(B227=$G$7,pmt_timing="End"),VLOOKUP($B$1,Inventory!$A$1:$BC$500,35,FALSE),0))</f>
        <v>#N/A</v>
      </c>
      <c r="E227" s="78">
        <v>0</v>
      </c>
      <c r="F227" s="78">
        <v>0</v>
      </c>
      <c r="G227" s="78">
        <v>0</v>
      </c>
      <c r="H227" s="78">
        <v>0</v>
      </c>
      <c r="I227" s="78">
        <v>0</v>
      </c>
      <c r="J227" s="78">
        <v>0</v>
      </c>
      <c r="K227" s="78">
        <v>0</v>
      </c>
      <c r="L227" s="36" t="e">
        <f t="shared" ca="1" si="63"/>
        <v>#N/A</v>
      </c>
      <c r="M227" s="37" t="e">
        <f t="shared" ca="1" si="61"/>
        <v>#N/A</v>
      </c>
      <c r="N227" s="37" t="e">
        <f t="shared" ca="1" si="62"/>
        <v>#N/A</v>
      </c>
      <c r="P227" s="35" t="e">
        <f t="shared" ca="1" si="69"/>
        <v>#N/A</v>
      </c>
      <c r="Q227" s="59" t="e">
        <f t="shared" ca="1" si="64"/>
        <v>#N/A</v>
      </c>
      <c r="R227" s="44" t="e">
        <f t="shared" ca="1" si="65"/>
        <v>#N/A</v>
      </c>
      <c r="S227" s="37" t="e">
        <f ca="1">IF(P227="","",IF(P227="Total",SUM($S$19:S226),VLOOKUP($P227,$B$12:$L281,11,FALSE)))</f>
        <v>#N/A</v>
      </c>
      <c r="T227" s="44" t="e">
        <f ca="1">IF(payfreq="Annually",IF(P227="","",IF(P227="Total",SUM($T$19:T226),Adj_Rate*$R227)),IF(payfreq="Semiannually",IF(P227="","",IF(P227="Total",SUM($T$19:T226),Adj_Rate/2*$R227)),IF(payfreq="Quarterly",IF(P227="","",IF(P227="Total",SUM($T$19:T226),Adj_Rate/4*$R227)),IF(payfreq="Monthly",IF(P227="","",IF(P227="Total",SUM($T$19:T226),Adj_Rate/12*$R227)),""))))</f>
        <v>#N/A</v>
      </c>
      <c r="U227" s="37" t="e">
        <f t="shared" ca="1" si="66"/>
        <v>#N/A</v>
      </c>
      <c r="V227" s="44" t="e">
        <f t="shared" ca="1" si="67"/>
        <v>#N/A</v>
      </c>
    </row>
    <row r="228" spans="2:22">
      <c r="B228" s="38">
        <v>209</v>
      </c>
      <c r="C228" s="77" t="e">
        <f t="shared" ca="1" si="68"/>
        <v>#N/A</v>
      </c>
      <c r="D228" s="78" t="e">
        <f ca="1">+IF(AND(B228&lt;$G$7),VLOOKUP($B$1,Inventory!$A$1:$BC$500,35,FALSE),IF(AND(B228=$G$7,pmt_timing="End"),VLOOKUP($B$1,Inventory!$A$1:$BC$500,35,FALSE),0))</f>
        <v>#N/A</v>
      </c>
      <c r="E228" s="78">
        <v>0</v>
      </c>
      <c r="F228" s="78">
        <v>0</v>
      </c>
      <c r="G228" s="78">
        <v>0</v>
      </c>
      <c r="H228" s="78">
        <v>0</v>
      </c>
      <c r="I228" s="78">
        <v>0</v>
      </c>
      <c r="J228" s="78">
        <v>0</v>
      </c>
      <c r="K228" s="78">
        <v>0</v>
      </c>
      <c r="L228" s="36" t="e">
        <f t="shared" ca="1" si="63"/>
        <v>#N/A</v>
      </c>
      <c r="M228" s="37" t="e">
        <f t="shared" ca="1" si="61"/>
        <v>#N/A</v>
      </c>
      <c r="N228" s="37" t="e">
        <f t="shared" ca="1" si="62"/>
        <v>#N/A</v>
      </c>
      <c r="P228" s="35" t="e">
        <f t="shared" ca="1" si="69"/>
        <v>#N/A</v>
      </c>
      <c r="Q228" s="59" t="e">
        <f t="shared" ca="1" si="64"/>
        <v>#N/A</v>
      </c>
      <c r="R228" s="44" t="e">
        <f t="shared" ca="1" si="65"/>
        <v>#N/A</v>
      </c>
      <c r="S228" s="37" t="e">
        <f ca="1">IF(P228="","",IF(P228="Total",SUM($S$19:S227),VLOOKUP($P228,$B$12:$L282,11,FALSE)))</f>
        <v>#N/A</v>
      </c>
      <c r="T228" s="44" t="e">
        <f ca="1">IF(payfreq="Annually",IF(P228="","",IF(P228="Total",SUM($T$19:T227),Adj_Rate*$R228)),IF(payfreq="Semiannually",IF(P228="","",IF(P228="Total",SUM($T$19:T227),Adj_Rate/2*$R228)),IF(payfreq="Quarterly",IF(P228="","",IF(P228="Total",SUM($T$19:T227),Adj_Rate/4*$R228)),IF(payfreq="Monthly",IF(P228="","",IF(P228="Total",SUM($T$19:T227),Adj_Rate/12*$R228)),""))))</f>
        <v>#N/A</v>
      </c>
      <c r="U228" s="37" t="e">
        <f t="shared" ca="1" si="66"/>
        <v>#N/A</v>
      </c>
      <c r="V228" s="44" t="e">
        <f t="shared" ca="1" si="67"/>
        <v>#N/A</v>
      </c>
    </row>
    <row r="229" spans="2:22">
      <c r="B229" s="38">
        <v>210</v>
      </c>
      <c r="C229" s="77" t="e">
        <f t="shared" ca="1" si="68"/>
        <v>#N/A</v>
      </c>
      <c r="D229" s="78" t="e">
        <f ca="1">+IF(AND(B229&lt;$G$7),VLOOKUP($B$1,Inventory!$A$1:$BC$500,35,FALSE),IF(AND(B229=$G$7,pmt_timing="End"),VLOOKUP($B$1,Inventory!$A$1:$BC$500,35,FALSE),0))</f>
        <v>#N/A</v>
      </c>
      <c r="E229" s="78">
        <v>0</v>
      </c>
      <c r="F229" s="78">
        <v>0</v>
      </c>
      <c r="G229" s="78">
        <v>0</v>
      </c>
      <c r="H229" s="78">
        <v>0</v>
      </c>
      <c r="I229" s="78">
        <v>0</v>
      </c>
      <c r="J229" s="78">
        <v>0</v>
      </c>
      <c r="K229" s="78">
        <v>0</v>
      </c>
      <c r="L229" s="36" t="e">
        <f t="shared" ca="1" si="63"/>
        <v>#N/A</v>
      </c>
      <c r="M229" s="37" t="e">
        <f t="shared" ca="1" si="61"/>
        <v>#N/A</v>
      </c>
      <c r="N229" s="37" t="e">
        <f t="shared" ca="1" si="62"/>
        <v>#N/A</v>
      </c>
      <c r="P229" s="35" t="e">
        <f t="shared" ca="1" si="69"/>
        <v>#N/A</v>
      </c>
      <c r="Q229" s="59" t="e">
        <f t="shared" ca="1" si="64"/>
        <v>#N/A</v>
      </c>
      <c r="R229" s="44" t="e">
        <f t="shared" ca="1" si="65"/>
        <v>#N/A</v>
      </c>
      <c r="S229" s="37" t="e">
        <f ca="1">IF(P229="","",IF(P229="Total",SUM($S$19:S228),VLOOKUP($P229,$B$12:$L283,11,FALSE)))</f>
        <v>#N/A</v>
      </c>
      <c r="T229" s="44" t="e">
        <f ca="1">IF(payfreq="Annually",IF(P229="","",IF(P229="Total",SUM($T$19:T228),Adj_Rate*$R229)),IF(payfreq="Semiannually",IF(P229="","",IF(P229="Total",SUM($T$19:T228),Adj_Rate/2*$R229)),IF(payfreq="Quarterly",IF(P229="","",IF(P229="Total",SUM($T$19:T228),Adj_Rate/4*$R229)),IF(payfreq="Monthly",IF(P229="","",IF(P229="Total",SUM($T$19:T228),Adj_Rate/12*$R229)),""))))</f>
        <v>#N/A</v>
      </c>
      <c r="U229" s="37" t="e">
        <f t="shared" ca="1" si="66"/>
        <v>#N/A</v>
      </c>
      <c r="V229" s="44" t="e">
        <f t="shared" ca="1" si="67"/>
        <v>#N/A</v>
      </c>
    </row>
    <row r="230" spans="2:22">
      <c r="B230" s="38">
        <v>211</v>
      </c>
      <c r="C230" s="77" t="e">
        <f t="shared" ca="1" si="68"/>
        <v>#N/A</v>
      </c>
      <c r="D230" s="78" t="e">
        <f ca="1">+IF(AND(B230&lt;$G$7),VLOOKUP($B$1,Inventory!$A$1:$BC$500,35,FALSE),IF(AND(B230=$G$7,pmt_timing="End"),VLOOKUP($B$1,Inventory!$A$1:$BC$500,35,FALSE),0))</f>
        <v>#N/A</v>
      </c>
      <c r="E230" s="78">
        <v>0</v>
      </c>
      <c r="F230" s="78">
        <v>0</v>
      </c>
      <c r="G230" s="78">
        <v>0</v>
      </c>
      <c r="H230" s="78">
        <v>0</v>
      </c>
      <c r="I230" s="78">
        <v>0</v>
      </c>
      <c r="J230" s="78">
        <v>0</v>
      </c>
      <c r="K230" s="78">
        <v>0</v>
      </c>
      <c r="L230" s="36" t="e">
        <f t="shared" ca="1" si="63"/>
        <v>#N/A</v>
      </c>
      <c r="M230" s="37" t="e">
        <f t="shared" ca="1" si="61"/>
        <v>#N/A</v>
      </c>
      <c r="N230" s="37" t="e">
        <f t="shared" ca="1" si="62"/>
        <v>#N/A</v>
      </c>
      <c r="P230" s="35" t="e">
        <f t="shared" ca="1" si="69"/>
        <v>#N/A</v>
      </c>
      <c r="Q230" s="59" t="e">
        <f t="shared" ca="1" si="64"/>
        <v>#N/A</v>
      </c>
      <c r="R230" s="44" t="e">
        <f t="shared" ca="1" si="65"/>
        <v>#N/A</v>
      </c>
      <c r="S230" s="37" t="e">
        <f ca="1">IF(P230="","",IF(P230="Total",SUM($S$19:S229),VLOOKUP($P230,$B$12:$L284,11,FALSE)))</f>
        <v>#N/A</v>
      </c>
      <c r="T230" s="44" t="e">
        <f ca="1">IF(payfreq="Annually",IF(P230="","",IF(P230="Total",SUM($T$19:T229),Adj_Rate*$R230)),IF(payfreq="Semiannually",IF(P230="","",IF(P230="Total",SUM($T$19:T229),Adj_Rate/2*$R230)),IF(payfreq="Quarterly",IF(P230="","",IF(P230="Total",SUM($T$19:T229),Adj_Rate/4*$R230)),IF(payfreq="Monthly",IF(P230="","",IF(P230="Total",SUM($T$19:T229),Adj_Rate/12*$R230)),""))))</f>
        <v>#N/A</v>
      </c>
      <c r="U230" s="37" t="e">
        <f t="shared" ca="1" si="66"/>
        <v>#N/A</v>
      </c>
      <c r="V230" s="44" t="e">
        <f t="shared" ca="1" si="67"/>
        <v>#N/A</v>
      </c>
    </row>
    <row r="231" spans="2:22">
      <c r="B231" s="38">
        <v>212</v>
      </c>
      <c r="C231" s="77" t="e">
        <f t="shared" ca="1" si="68"/>
        <v>#N/A</v>
      </c>
      <c r="D231" s="78" t="e">
        <f ca="1">+IF(AND(B231&lt;$G$7),VLOOKUP($B$1,Inventory!$A$1:$BC$500,35,FALSE),IF(AND(B231=$G$7,pmt_timing="End"),VLOOKUP($B$1,Inventory!$A$1:$BC$500,35,FALSE),0))</f>
        <v>#N/A</v>
      </c>
      <c r="E231" s="78">
        <v>0</v>
      </c>
      <c r="F231" s="78">
        <v>0</v>
      </c>
      <c r="G231" s="78">
        <v>0</v>
      </c>
      <c r="H231" s="78">
        <v>0</v>
      </c>
      <c r="I231" s="78">
        <v>0</v>
      </c>
      <c r="J231" s="78">
        <v>0</v>
      </c>
      <c r="K231" s="78">
        <v>0</v>
      </c>
      <c r="L231" s="36" t="e">
        <f t="shared" ca="1" si="63"/>
        <v>#N/A</v>
      </c>
      <c r="M231" s="37" t="e">
        <f t="shared" ca="1" si="61"/>
        <v>#N/A</v>
      </c>
      <c r="N231" s="37" t="e">
        <f t="shared" ca="1" si="62"/>
        <v>#N/A</v>
      </c>
      <c r="P231" s="35" t="e">
        <f t="shared" ca="1" si="69"/>
        <v>#N/A</v>
      </c>
      <c r="Q231" s="59" t="e">
        <f t="shared" ca="1" si="64"/>
        <v>#N/A</v>
      </c>
      <c r="R231" s="44" t="e">
        <f t="shared" ca="1" si="65"/>
        <v>#N/A</v>
      </c>
      <c r="S231" s="37" t="e">
        <f ca="1">IF(P231="","",IF(P231="Total",SUM($S$19:S230),VLOOKUP($P231,$B$12:$L285,11,FALSE)))</f>
        <v>#N/A</v>
      </c>
      <c r="T231" s="44" t="e">
        <f ca="1">IF(payfreq="Annually",IF(P231="","",IF(P231="Total",SUM($T$19:T230),Adj_Rate*$R231)),IF(payfreq="Semiannually",IF(P231="","",IF(P231="Total",SUM($T$19:T230),Adj_Rate/2*$R231)),IF(payfreq="Quarterly",IF(P231="","",IF(P231="Total",SUM($T$19:T230),Adj_Rate/4*$R231)),IF(payfreq="Monthly",IF(P231="","",IF(P231="Total",SUM($T$19:T230),Adj_Rate/12*$R231)),""))))</f>
        <v>#N/A</v>
      </c>
      <c r="U231" s="37" t="e">
        <f t="shared" ca="1" si="66"/>
        <v>#N/A</v>
      </c>
      <c r="V231" s="44" t="e">
        <f t="shared" ca="1" si="67"/>
        <v>#N/A</v>
      </c>
    </row>
    <row r="232" spans="2:22">
      <c r="B232" s="38">
        <v>213</v>
      </c>
      <c r="C232" s="77" t="e">
        <f t="shared" ca="1" si="68"/>
        <v>#N/A</v>
      </c>
      <c r="D232" s="78" t="e">
        <f ca="1">+IF(AND(B232&lt;$G$7),VLOOKUP($B$1,Inventory!$A$1:$BC$500,35,FALSE),IF(AND(B232=$G$7,pmt_timing="End"),VLOOKUP($B$1,Inventory!$A$1:$BC$500,35,FALSE),0))</f>
        <v>#N/A</v>
      </c>
      <c r="E232" s="78">
        <v>0</v>
      </c>
      <c r="F232" s="78">
        <v>0</v>
      </c>
      <c r="G232" s="78">
        <v>0</v>
      </c>
      <c r="H232" s="78">
        <v>0</v>
      </c>
      <c r="I232" s="78">
        <v>0</v>
      </c>
      <c r="J232" s="78">
        <v>0</v>
      </c>
      <c r="K232" s="78">
        <v>0</v>
      </c>
      <c r="L232" s="36" t="e">
        <f t="shared" ca="1" si="63"/>
        <v>#N/A</v>
      </c>
      <c r="M232" s="37" t="e">
        <f t="shared" ca="1" si="61"/>
        <v>#N/A</v>
      </c>
      <c r="N232" s="37" t="e">
        <f t="shared" ca="1" si="62"/>
        <v>#N/A</v>
      </c>
      <c r="P232" s="35" t="e">
        <f t="shared" ca="1" si="69"/>
        <v>#N/A</v>
      </c>
      <c r="Q232" s="59" t="e">
        <f t="shared" ca="1" si="64"/>
        <v>#N/A</v>
      </c>
      <c r="R232" s="44" t="e">
        <f t="shared" ca="1" si="65"/>
        <v>#N/A</v>
      </c>
      <c r="S232" s="37" t="e">
        <f ca="1">IF(P232="","",IF(P232="Total",SUM($S$19:S231),VLOOKUP($P232,$B$12:$L286,11,FALSE)))</f>
        <v>#N/A</v>
      </c>
      <c r="T232" s="44" t="e">
        <f ca="1">IF(payfreq="Annually",IF(P232="","",IF(P232="Total",SUM($T$19:T231),Adj_Rate*$R232)),IF(payfreq="Semiannually",IF(P232="","",IF(P232="Total",SUM($T$19:T231),Adj_Rate/2*$R232)),IF(payfreq="Quarterly",IF(P232="","",IF(P232="Total",SUM($T$19:T231),Adj_Rate/4*$R232)),IF(payfreq="Monthly",IF(P232="","",IF(P232="Total",SUM($T$19:T231),Adj_Rate/12*$R232)),""))))</f>
        <v>#N/A</v>
      </c>
      <c r="U232" s="37" t="e">
        <f t="shared" ca="1" si="66"/>
        <v>#N/A</v>
      </c>
      <c r="V232" s="44" t="e">
        <f t="shared" ca="1" si="67"/>
        <v>#N/A</v>
      </c>
    </row>
    <row r="233" spans="2:22">
      <c r="B233" s="38">
        <v>214</v>
      </c>
      <c r="C233" s="77" t="e">
        <f t="shared" ca="1" si="68"/>
        <v>#N/A</v>
      </c>
      <c r="D233" s="78" t="e">
        <f ca="1">+IF(AND(B233&lt;$G$7),VLOOKUP($B$1,Inventory!$A$1:$BC$500,35,FALSE),IF(AND(B233=$G$7,pmt_timing="End"),VLOOKUP($B$1,Inventory!$A$1:$BC$500,35,FALSE),0))</f>
        <v>#N/A</v>
      </c>
      <c r="E233" s="78">
        <v>0</v>
      </c>
      <c r="F233" s="78">
        <v>0</v>
      </c>
      <c r="G233" s="78">
        <v>0</v>
      </c>
      <c r="H233" s="78">
        <v>0</v>
      </c>
      <c r="I233" s="78">
        <v>0</v>
      </c>
      <c r="J233" s="78">
        <v>0</v>
      </c>
      <c r="K233" s="78">
        <v>0</v>
      </c>
      <c r="L233" s="36" t="e">
        <f t="shared" ca="1" si="63"/>
        <v>#N/A</v>
      </c>
      <c r="M233" s="37" t="e">
        <f t="shared" ca="1" si="61"/>
        <v>#N/A</v>
      </c>
      <c r="N233" s="37" t="e">
        <f t="shared" ca="1" si="62"/>
        <v>#N/A</v>
      </c>
      <c r="P233" s="35" t="e">
        <f t="shared" ca="1" si="69"/>
        <v>#N/A</v>
      </c>
      <c r="Q233" s="59" t="e">
        <f t="shared" ca="1" si="64"/>
        <v>#N/A</v>
      </c>
      <c r="R233" s="44" t="e">
        <f t="shared" ca="1" si="65"/>
        <v>#N/A</v>
      </c>
      <c r="S233" s="37" t="e">
        <f ca="1">IF(P233="","",IF(P233="Total",SUM($S$19:S232),VLOOKUP($P233,$B$12:$L287,11,FALSE)))</f>
        <v>#N/A</v>
      </c>
      <c r="T233" s="44" t="e">
        <f ca="1">IF(payfreq="Annually",IF(P233="","",IF(P233="Total",SUM($T$19:T232),Adj_Rate*$R233)),IF(payfreq="Semiannually",IF(P233="","",IF(P233="Total",SUM($T$19:T232),Adj_Rate/2*$R233)),IF(payfreq="Quarterly",IF(P233="","",IF(P233="Total",SUM($T$19:T232),Adj_Rate/4*$R233)),IF(payfreq="Monthly",IF(P233="","",IF(P233="Total",SUM($T$19:T232),Adj_Rate/12*$R233)),""))))</f>
        <v>#N/A</v>
      </c>
      <c r="U233" s="37" t="e">
        <f t="shared" ca="1" si="66"/>
        <v>#N/A</v>
      </c>
      <c r="V233" s="44" t="e">
        <f t="shared" ca="1" si="67"/>
        <v>#N/A</v>
      </c>
    </row>
    <row r="234" spans="2:22">
      <c r="B234" s="38">
        <v>215</v>
      </c>
      <c r="C234" s="77" t="e">
        <f t="shared" ca="1" si="68"/>
        <v>#N/A</v>
      </c>
      <c r="D234" s="78" t="e">
        <f ca="1">+IF(AND(B234&lt;$G$7),VLOOKUP($B$1,Inventory!$A$1:$BC$500,35,FALSE),IF(AND(B234=$G$7,pmt_timing="End"),VLOOKUP($B$1,Inventory!$A$1:$BC$500,35,FALSE),0))</f>
        <v>#N/A</v>
      </c>
      <c r="E234" s="78">
        <v>0</v>
      </c>
      <c r="F234" s="78">
        <v>0</v>
      </c>
      <c r="G234" s="78">
        <v>0</v>
      </c>
      <c r="H234" s="78">
        <v>0</v>
      </c>
      <c r="I234" s="78">
        <v>0</v>
      </c>
      <c r="J234" s="78">
        <v>0</v>
      </c>
      <c r="K234" s="78">
        <v>0</v>
      </c>
      <c r="L234" s="36" t="e">
        <f t="shared" ca="1" si="63"/>
        <v>#N/A</v>
      </c>
      <c r="M234" s="37" t="e">
        <f t="shared" ca="1" si="61"/>
        <v>#N/A</v>
      </c>
      <c r="N234" s="37" t="e">
        <f t="shared" ca="1" si="62"/>
        <v>#N/A</v>
      </c>
      <c r="P234" s="35" t="e">
        <f t="shared" ca="1" si="69"/>
        <v>#N/A</v>
      </c>
      <c r="Q234" s="59" t="e">
        <f t="shared" ca="1" si="64"/>
        <v>#N/A</v>
      </c>
      <c r="R234" s="44" t="e">
        <f t="shared" ca="1" si="65"/>
        <v>#N/A</v>
      </c>
      <c r="S234" s="37" t="e">
        <f ca="1">IF(P234="","",IF(P234="Total",SUM($S$19:S233),VLOOKUP($P234,$B$12:$L288,11,FALSE)))</f>
        <v>#N/A</v>
      </c>
      <c r="T234" s="44" t="e">
        <f ca="1">IF(payfreq="Annually",IF(P234="","",IF(P234="Total",SUM($T$19:T233),Adj_Rate*$R234)),IF(payfreq="Semiannually",IF(P234="","",IF(P234="Total",SUM($T$19:T233),Adj_Rate/2*$R234)),IF(payfreq="Quarterly",IF(P234="","",IF(P234="Total",SUM($T$19:T233),Adj_Rate/4*$R234)),IF(payfreq="Monthly",IF(P234="","",IF(P234="Total",SUM($T$19:T233),Adj_Rate/12*$R234)),""))))</f>
        <v>#N/A</v>
      </c>
      <c r="U234" s="37" t="e">
        <f t="shared" ca="1" si="66"/>
        <v>#N/A</v>
      </c>
      <c r="V234" s="44" t="e">
        <f t="shared" ca="1" si="67"/>
        <v>#N/A</v>
      </c>
    </row>
    <row r="235" spans="2:22">
      <c r="B235" s="38">
        <v>216</v>
      </c>
      <c r="C235" s="77" t="e">
        <f t="shared" ca="1" si="68"/>
        <v>#N/A</v>
      </c>
      <c r="D235" s="78" t="e">
        <f ca="1">+IF(AND(B235&lt;$G$7),VLOOKUP($B$1,Inventory!$A$1:$BC$500,35,FALSE),IF(AND(B235=$G$7,pmt_timing="End"),VLOOKUP($B$1,Inventory!$A$1:$BC$500,35,FALSE),0))</f>
        <v>#N/A</v>
      </c>
      <c r="E235" s="78">
        <v>0</v>
      </c>
      <c r="F235" s="78">
        <v>0</v>
      </c>
      <c r="G235" s="78">
        <v>0</v>
      </c>
      <c r="H235" s="78">
        <v>0</v>
      </c>
      <c r="I235" s="78">
        <v>0</v>
      </c>
      <c r="J235" s="78">
        <v>0</v>
      </c>
      <c r="K235" s="78">
        <v>0</v>
      </c>
      <c r="L235" s="36" t="e">
        <f t="shared" ca="1" si="63"/>
        <v>#N/A</v>
      </c>
      <c r="M235" s="37" t="e">
        <f t="shared" ca="1" si="61"/>
        <v>#N/A</v>
      </c>
      <c r="N235" s="37" t="e">
        <f t="shared" ca="1" si="62"/>
        <v>#N/A</v>
      </c>
      <c r="P235" s="35" t="e">
        <f t="shared" ca="1" si="69"/>
        <v>#N/A</v>
      </c>
      <c r="Q235" s="59" t="e">
        <f t="shared" ca="1" si="64"/>
        <v>#N/A</v>
      </c>
      <c r="R235" s="44" t="e">
        <f t="shared" ca="1" si="65"/>
        <v>#N/A</v>
      </c>
      <c r="S235" s="37" t="e">
        <f ca="1">IF(P235="","",IF(P235="Total",SUM($S$19:S234),VLOOKUP($P235,$B$12:$L289,11,FALSE)))</f>
        <v>#N/A</v>
      </c>
      <c r="T235" s="44" t="e">
        <f ca="1">IF(payfreq="Annually",IF(P235="","",IF(P235="Total",SUM($T$19:T234),Adj_Rate*$R235)),IF(payfreq="Semiannually",IF(P235="","",IF(P235="Total",SUM($T$19:T234),Adj_Rate/2*$R235)),IF(payfreq="Quarterly",IF(P235="","",IF(P235="Total",SUM($T$19:T234),Adj_Rate/4*$R235)),IF(payfreq="Monthly",IF(P235="","",IF(P235="Total",SUM($T$19:T234),Adj_Rate/12*$R235)),""))))</f>
        <v>#N/A</v>
      </c>
      <c r="U235" s="37" t="e">
        <f t="shared" ca="1" si="66"/>
        <v>#N/A</v>
      </c>
      <c r="V235" s="44" t="e">
        <f t="shared" ca="1" si="67"/>
        <v>#N/A</v>
      </c>
    </row>
    <row r="236" spans="2:22">
      <c r="B236" s="38">
        <v>217</v>
      </c>
      <c r="C236" s="77" t="e">
        <f t="shared" ca="1" si="68"/>
        <v>#N/A</v>
      </c>
      <c r="D236" s="78" t="e">
        <f ca="1">+IF(AND(B236&lt;$G$7),VLOOKUP($B$1,Inventory!$A$1:$BC$500,35,FALSE),IF(AND(B236=$G$7,pmt_timing="End"),VLOOKUP($B$1,Inventory!$A$1:$BC$500,35,FALSE),0))</f>
        <v>#N/A</v>
      </c>
      <c r="E236" s="78">
        <v>0</v>
      </c>
      <c r="F236" s="78">
        <v>0</v>
      </c>
      <c r="G236" s="78">
        <v>0</v>
      </c>
      <c r="H236" s="78">
        <v>0</v>
      </c>
      <c r="I236" s="78">
        <v>0</v>
      </c>
      <c r="J236" s="78">
        <v>0</v>
      </c>
      <c r="K236" s="78">
        <v>0</v>
      </c>
      <c r="L236" s="36" t="e">
        <f t="shared" ca="1" si="63"/>
        <v>#N/A</v>
      </c>
      <c r="M236" s="37" t="e">
        <f t="shared" ca="1" si="61"/>
        <v>#N/A</v>
      </c>
      <c r="N236" s="37" t="e">
        <f t="shared" ca="1" si="62"/>
        <v>#N/A</v>
      </c>
      <c r="P236" s="35" t="e">
        <f t="shared" ca="1" si="69"/>
        <v>#N/A</v>
      </c>
      <c r="Q236" s="59" t="e">
        <f t="shared" ca="1" si="64"/>
        <v>#N/A</v>
      </c>
      <c r="R236" s="44" t="e">
        <f t="shared" ca="1" si="65"/>
        <v>#N/A</v>
      </c>
      <c r="S236" s="37" t="e">
        <f ca="1">IF(P236="","",IF(P236="Total",SUM($S$19:S235),VLOOKUP($P236,$B$12:$L290,11,FALSE)))</f>
        <v>#N/A</v>
      </c>
      <c r="T236" s="44" t="e">
        <f ca="1">IF(payfreq="Annually",IF(P236="","",IF(P236="Total",SUM($T$19:T235),Adj_Rate*$R236)),IF(payfreq="Semiannually",IF(P236="","",IF(P236="Total",SUM($T$19:T235),Adj_Rate/2*$R236)),IF(payfreq="Quarterly",IF(P236="","",IF(P236="Total",SUM($T$19:T235),Adj_Rate/4*$R236)),IF(payfreq="Monthly",IF(P236="","",IF(P236="Total",SUM($T$19:T235),Adj_Rate/12*$R236)),""))))</f>
        <v>#N/A</v>
      </c>
      <c r="U236" s="37" t="e">
        <f t="shared" ca="1" si="66"/>
        <v>#N/A</v>
      </c>
      <c r="V236" s="44" t="e">
        <f t="shared" ca="1" si="67"/>
        <v>#N/A</v>
      </c>
    </row>
    <row r="237" spans="2:22">
      <c r="B237" s="38">
        <v>218</v>
      </c>
      <c r="C237" s="77" t="e">
        <f t="shared" ca="1" si="68"/>
        <v>#N/A</v>
      </c>
      <c r="D237" s="78" t="e">
        <f ca="1">+IF(AND(B237&lt;$G$7),VLOOKUP($B$1,Inventory!$A$1:$BC$500,35,FALSE),IF(AND(B237=$G$7,pmt_timing="End"),VLOOKUP($B$1,Inventory!$A$1:$BC$500,35,FALSE),0))</f>
        <v>#N/A</v>
      </c>
      <c r="E237" s="78">
        <v>0</v>
      </c>
      <c r="F237" s="78">
        <v>0</v>
      </c>
      <c r="G237" s="78">
        <v>0</v>
      </c>
      <c r="H237" s="78">
        <v>0</v>
      </c>
      <c r="I237" s="78">
        <v>0</v>
      </c>
      <c r="J237" s="78">
        <v>0</v>
      </c>
      <c r="K237" s="78">
        <v>0</v>
      </c>
      <c r="L237" s="36" t="e">
        <f t="shared" ca="1" si="63"/>
        <v>#N/A</v>
      </c>
      <c r="M237" s="37" t="e">
        <f t="shared" ca="1" si="61"/>
        <v>#N/A</v>
      </c>
      <c r="N237" s="37" t="e">
        <f t="shared" ca="1" si="62"/>
        <v>#N/A</v>
      </c>
      <c r="P237" s="35" t="e">
        <f t="shared" ca="1" si="69"/>
        <v>#N/A</v>
      </c>
      <c r="Q237" s="59" t="e">
        <f t="shared" ca="1" si="64"/>
        <v>#N/A</v>
      </c>
      <c r="R237" s="44" t="e">
        <f t="shared" ca="1" si="65"/>
        <v>#N/A</v>
      </c>
      <c r="S237" s="37" t="e">
        <f ca="1">IF(P237="","",IF(P237="Total",SUM($S$19:S236),VLOOKUP($P237,$B$12:$L291,11,FALSE)))</f>
        <v>#N/A</v>
      </c>
      <c r="T237" s="44" t="e">
        <f ca="1">IF(payfreq="Annually",IF(P237="","",IF(P237="Total",SUM($T$19:T236),Adj_Rate*$R237)),IF(payfreq="Semiannually",IF(P237="","",IF(P237="Total",SUM($T$19:T236),Adj_Rate/2*$R237)),IF(payfreq="Quarterly",IF(P237="","",IF(P237="Total",SUM($T$19:T236),Adj_Rate/4*$R237)),IF(payfreq="Monthly",IF(P237="","",IF(P237="Total",SUM($T$19:T236),Adj_Rate/12*$R237)),""))))</f>
        <v>#N/A</v>
      </c>
      <c r="U237" s="37" t="e">
        <f t="shared" ca="1" si="66"/>
        <v>#N/A</v>
      </c>
      <c r="V237" s="44" t="e">
        <f t="shared" ca="1" si="67"/>
        <v>#N/A</v>
      </c>
    </row>
    <row r="238" spans="2:22">
      <c r="B238" s="38">
        <v>219</v>
      </c>
      <c r="C238" s="77" t="e">
        <f t="shared" ca="1" si="68"/>
        <v>#N/A</v>
      </c>
      <c r="D238" s="78" t="e">
        <f ca="1">+IF(AND(B238&lt;$G$7),VLOOKUP($B$1,Inventory!$A$1:$BC$500,35,FALSE),IF(AND(B238=$G$7,pmt_timing="End"),VLOOKUP($B$1,Inventory!$A$1:$BC$500,35,FALSE),0))</f>
        <v>#N/A</v>
      </c>
      <c r="E238" s="78">
        <v>0</v>
      </c>
      <c r="F238" s="78">
        <v>0</v>
      </c>
      <c r="G238" s="78">
        <v>0</v>
      </c>
      <c r="H238" s="78">
        <v>0</v>
      </c>
      <c r="I238" s="78">
        <v>0</v>
      </c>
      <c r="J238" s="78">
        <v>0</v>
      </c>
      <c r="K238" s="78">
        <v>0</v>
      </c>
      <c r="L238" s="36" t="e">
        <f t="shared" ca="1" si="63"/>
        <v>#N/A</v>
      </c>
      <c r="M238" s="37" t="e">
        <f t="shared" ca="1" si="61"/>
        <v>#N/A</v>
      </c>
      <c r="N238" s="37" t="e">
        <f t="shared" ca="1" si="62"/>
        <v>#N/A</v>
      </c>
      <c r="P238" s="35" t="e">
        <f t="shared" ca="1" si="69"/>
        <v>#N/A</v>
      </c>
      <c r="Q238" s="59" t="e">
        <f t="shared" ca="1" si="64"/>
        <v>#N/A</v>
      </c>
      <c r="R238" s="44" t="e">
        <f t="shared" ca="1" si="65"/>
        <v>#N/A</v>
      </c>
      <c r="S238" s="37" t="e">
        <f ca="1">IF(P238="","",IF(P238="Total",SUM($S$19:S237),VLOOKUP($P238,$B$12:$L292,11,FALSE)))</f>
        <v>#N/A</v>
      </c>
      <c r="T238" s="44" t="e">
        <f ca="1">IF(payfreq="Annually",IF(P238="","",IF(P238="Total",SUM($T$19:T237),Adj_Rate*$R238)),IF(payfreq="Semiannually",IF(P238="","",IF(P238="Total",SUM($T$19:T237),Adj_Rate/2*$R238)),IF(payfreq="Quarterly",IF(P238="","",IF(P238="Total",SUM($T$19:T237),Adj_Rate/4*$R238)),IF(payfreq="Monthly",IF(P238="","",IF(P238="Total",SUM($T$19:T237),Adj_Rate/12*$R238)),""))))</f>
        <v>#N/A</v>
      </c>
      <c r="U238" s="37" t="e">
        <f t="shared" ca="1" si="66"/>
        <v>#N/A</v>
      </c>
      <c r="V238" s="44" t="e">
        <f t="shared" ca="1" si="67"/>
        <v>#N/A</v>
      </c>
    </row>
    <row r="239" spans="2:22">
      <c r="B239" s="38">
        <v>220</v>
      </c>
      <c r="C239" s="77" t="e">
        <f t="shared" ca="1" si="68"/>
        <v>#N/A</v>
      </c>
      <c r="D239" s="78" t="e">
        <f ca="1">+IF(AND(B239&lt;$G$7),VLOOKUP($B$1,Inventory!$A$1:$BC$500,35,FALSE),IF(AND(B239=$G$7,pmt_timing="End"),VLOOKUP($B$1,Inventory!$A$1:$BC$500,35,FALSE),0))</f>
        <v>#N/A</v>
      </c>
      <c r="E239" s="78">
        <v>0</v>
      </c>
      <c r="F239" s="78">
        <v>0</v>
      </c>
      <c r="G239" s="78">
        <v>0</v>
      </c>
      <c r="H239" s="78">
        <v>0</v>
      </c>
      <c r="I239" s="78">
        <v>0</v>
      </c>
      <c r="J239" s="78">
        <v>0</v>
      </c>
      <c r="K239" s="78">
        <v>0</v>
      </c>
      <c r="L239" s="36" t="e">
        <f t="shared" ca="1" si="63"/>
        <v>#N/A</v>
      </c>
      <c r="M239" s="37" t="e">
        <f t="shared" ca="1" si="61"/>
        <v>#N/A</v>
      </c>
      <c r="N239" s="37" t="e">
        <f t="shared" ca="1" si="62"/>
        <v>#N/A</v>
      </c>
      <c r="P239" s="35" t="e">
        <f t="shared" ca="1" si="69"/>
        <v>#N/A</v>
      </c>
      <c r="Q239" s="59" t="e">
        <f t="shared" ca="1" si="64"/>
        <v>#N/A</v>
      </c>
      <c r="R239" s="44" t="e">
        <f t="shared" ca="1" si="65"/>
        <v>#N/A</v>
      </c>
      <c r="S239" s="37" t="e">
        <f ca="1">IF(P239="","",IF(P239="Total",SUM($S$19:S238),VLOOKUP($P239,$B$12:$L293,11,FALSE)))</f>
        <v>#N/A</v>
      </c>
      <c r="T239" s="44" t="e">
        <f ca="1">IF(payfreq="Annually",IF(P239="","",IF(P239="Total",SUM($T$19:T238),Adj_Rate*$R239)),IF(payfreq="Semiannually",IF(P239="","",IF(P239="Total",SUM($T$19:T238),Adj_Rate/2*$R239)),IF(payfreq="Quarterly",IF(P239="","",IF(P239="Total",SUM($T$19:T238),Adj_Rate/4*$R239)),IF(payfreq="Monthly",IF(P239="","",IF(P239="Total",SUM($T$19:T238),Adj_Rate/12*$R239)),""))))</f>
        <v>#N/A</v>
      </c>
      <c r="U239" s="37" t="e">
        <f t="shared" ca="1" si="66"/>
        <v>#N/A</v>
      </c>
      <c r="V239" s="44" t="e">
        <f t="shared" ca="1" si="67"/>
        <v>#N/A</v>
      </c>
    </row>
    <row r="240" spans="2:22">
      <c r="B240" s="38">
        <v>221</v>
      </c>
      <c r="C240" s="77" t="e">
        <f t="shared" ca="1" si="68"/>
        <v>#N/A</v>
      </c>
      <c r="D240" s="78" t="e">
        <f ca="1">+IF(AND(B240&lt;$G$7),VLOOKUP($B$1,Inventory!$A$1:$BC$500,35,FALSE),IF(AND(B240=$G$7,pmt_timing="End"),VLOOKUP($B$1,Inventory!$A$1:$BC$500,35,FALSE),0))</f>
        <v>#N/A</v>
      </c>
      <c r="E240" s="78">
        <v>0</v>
      </c>
      <c r="F240" s="78">
        <v>0</v>
      </c>
      <c r="G240" s="78">
        <v>0</v>
      </c>
      <c r="H240" s="78">
        <v>0</v>
      </c>
      <c r="I240" s="78">
        <v>0</v>
      </c>
      <c r="J240" s="78">
        <v>0</v>
      </c>
      <c r="K240" s="78">
        <v>0</v>
      </c>
      <c r="L240" s="36" t="e">
        <f t="shared" ca="1" si="63"/>
        <v>#N/A</v>
      </c>
      <c r="M240" s="37" t="e">
        <f t="shared" ca="1" si="61"/>
        <v>#N/A</v>
      </c>
      <c r="N240" s="37" t="e">
        <f t="shared" ca="1" si="62"/>
        <v>#N/A</v>
      </c>
      <c r="P240" s="35" t="e">
        <f t="shared" ca="1" si="69"/>
        <v>#N/A</v>
      </c>
      <c r="Q240" s="59" t="e">
        <f t="shared" ca="1" si="64"/>
        <v>#N/A</v>
      </c>
      <c r="R240" s="44" t="e">
        <f t="shared" ca="1" si="65"/>
        <v>#N/A</v>
      </c>
      <c r="S240" s="37" t="e">
        <f ca="1">IF(P240="","",IF(P240="Total",SUM($S$19:S239),VLOOKUP($P240,$B$12:$L294,11,FALSE)))</f>
        <v>#N/A</v>
      </c>
      <c r="T240" s="44" t="e">
        <f ca="1">IF(payfreq="Annually",IF(P240="","",IF(P240="Total",SUM($T$19:T239),Adj_Rate*$R240)),IF(payfreq="Semiannually",IF(P240="","",IF(P240="Total",SUM($T$19:T239),Adj_Rate/2*$R240)),IF(payfreq="Quarterly",IF(P240="","",IF(P240="Total",SUM($T$19:T239),Adj_Rate/4*$R240)),IF(payfreq="Monthly",IF(P240="","",IF(P240="Total",SUM($T$19:T239),Adj_Rate/12*$R240)),""))))</f>
        <v>#N/A</v>
      </c>
      <c r="U240" s="37" t="e">
        <f t="shared" ca="1" si="66"/>
        <v>#N/A</v>
      </c>
      <c r="V240" s="44" t="e">
        <f t="shared" ca="1" si="67"/>
        <v>#N/A</v>
      </c>
    </row>
    <row r="241" spans="2:22">
      <c r="B241" s="38">
        <v>222</v>
      </c>
      <c r="C241" s="77" t="e">
        <f t="shared" ca="1" si="68"/>
        <v>#N/A</v>
      </c>
      <c r="D241" s="78" t="e">
        <f ca="1">+IF(AND(B241&lt;$G$7),VLOOKUP($B$1,Inventory!$A$1:$BC$500,35,FALSE),IF(AND(B241=$G$7,pmt_timing="End"),VLOOKUP($B$1,Inventory!$A$1:$BC$500,35,FALSE),0))</f>
        <v>#N/A</v>
      </c>
      <c r="E241" s="78">
        <v>0</v>
      </c>
      <c r="F241" s="78">
        <v>0</v>
      </c>
      <c r="G241" s="78">
        <v>0</v>
      </c>
      <c r="H241" s="78">
        <v>0</v>
      </c>
      <c r="I241" s="78">
        <v>0</v>
      </c>
      <c r="J241" s="78">
        <v>0</v>
      </c>
      <c r="K241" s="78">
        <v>0</v>
      </c>
      <c r="L241" s="36" t="e">
        <f t="shared" ca="1" si="63"/>
        <v>#N/A</v>
      </c>
      <c r="M241" s="37" t="e">
        <f t="shared" ca="1" si="61"/>
        <v>#N/A</v>
      </c>
      <c r="N241" s="37" t="e">
        <f t="shared" ca="1" si="62"/>
        <v>#N/A</v>
      </c>
      <c r="P241" s="35" t="e">
        <f t="shared" ca="1" si="69"/>
        <v>#N/A</v>
      </c>
      <c r="Q241" s="59" t="e">
        <f t="shared" ca="1" si="64"/>
        <v>#N/A</v>
      </c>
      <c r="R241" s="44" t="e">
        <f t="shared" ca="1" si="65"/>
        <v>#N/A</v>
      </c>
      <c r="S241" s="37" t="e">
        <f ca="1">IF(P241="","",IF(P241="Total",SUM($S$19:S240),VLOOKUP($P241,$B$12:$L295,11,FALSE)))</f>
        <v>#N/A</v>
      </c>
      <c r="T241" s="44" t="e">
        <f ca="1">IF(payfreq="Annually",IF(P241="","",IF(P241="Total",SUM($T$19:T240),Adj_Rate*$R241)),IF(payfreq="Semiannually",IF(P241="","",IF(P241="Total",SUM($T$19:T240),Adj_Rate/2*$R241)),IF(payfreq="Quarterly",IF(P241="","",IF(P241="Total",SUM($T$19:T240),Adj_Rate/4*$R241)),IF(payfreq="Monthly",IF(P241="","",IF(P241="Total",SUM($T$19:T240),Adj_Rate/12*$R241)),""))))</f>
        <v>#N/A</v>
      </c>
      <c r="U241" s="37" t="e">
        <f t="shared" ca="1" si="66"/>
        <v>#N/A</v>
      </c>
      <c r="V241" s="44" t="e">
        <f t="shared" ca="1" si="67"/>
        <v>#N/A</v>
      </c>
    </row>
    <row r="242" spans="2:22">
      <c r="B242" s="38">
        <v>223</v>
      </c>
      <c r="C242" s="77" t="e">
        <f t="shared" ca="1" si="68"/>
        <v>#N/A</v>
      </c>
      <c r="D242" s="78" t="e">
        <f ca="1">+IF(AND(B242&lt;$G$7),VLOOKUP($B$1,Inventory!$A$1:$BC$500,35,FALSE),IF(AND(B242=$G$7,pmt_timing="End"),VLOOKUP($B$1,Inventory!$A$1:$BC$500,35,FALSE),0))</f>
        <v>#N/A</v>
      </c>
      <c r="E242" s="78">
        <v>0</v>
      </c>
      <c r="F242" s="78">
        <v>0</v>
      </c>
      <c r="G242" s="78">
        <v>0</v>
      </c>
      <c r="H242" s="78">
        <v>0</v>
      </c>
      <c r="I242" s="78">
        <v>0</v>
      </c>
      <c r="J242" s="78">
        <v>0</v>
      </c>
      <c r="K242" s="78">
        <v>0</v>
      </c>
      <c r="L242" s="36" t="e">
        <f t="shared" ca="1" si="63"/>
        <v>#N/A</v>
      </c>
      <c r="M242" s="37" t="e">
        <f t="shared" ca="1" si="61"/>
        <v>#N/A</v>
      </c>
      <c r="N242" s="37" t="e">
        <f t="shared" ca="1" si="62"/>
        <v>#N/A</v>
      </c>
      <c r="P242" s="35" t="e">
        <f t="shared" ca="1" si="69"/>
        <v>#N/A</v>
      </c>
      <c r="Q242" s="59" t="e">
        <f t="shared" ca="1" si="64"/>
        <v>#N/A</v>
      </c>
      <c r="R242" s="44" t="e">
        <f t="shared" ca="1" si="65"/>
        <v>#N/A</v>
      </c>
      <c r="S242" s="37" t="e">
        <f ca="1">IF(P242="","",IF(P242="Total",SUM($S$19:S241),VLOOKUP($P242,$B$12:$L296,11,FALSE)))</f>
        <v>#N/A</v>
      </c>
      <c r="T242" s="44" t="e">
        <f ca="1">IF(payfreq="Annually",IF(P242="","",IF(P242="Total",SUM($T$19:T241),Adj_Rate*$R242)),IF(payfreq="Semiannually",IF(P242="","",IF(P242="Total",SUM($T$19:T241),Adj_Rate/2*$R242)),IF(payfreq="Quarterly",IF(P242="","",IF(P242="Total",SUM($T$19:T241),Adj_Rate/4*$R242)),IF(payfreq="Monthly",IF(P242="","",IF(P242="Total",SUM($T$19:T241),Adj_Rate/12*$R242)),""))))</f>
        <v>#N/A</v>
      </c>
      <c r="U242" s="37" t="e">
        <f t="shared" ca="1" si="66"/>
        <v>#N/A</v>
      </c>
      <c r="V242" s="44" t="e">
        <f t="shared" ca="1" si="67"/>
        <v>#N/A</v>
      </c>
    </row>
    <row r="243" spans="2:22">
      <c r="B243" s="38">
        <v>224</v>
      </c>
      <c r="C243" s="77" t="e">
        <f t="shared" ca="1" si="68"/>
        <v>#N/A</v>
      </c>
      <c r="D243" s="78" t="e">
        <f ca="1">+IF(AND(B243&lt;$G$7),VLOOKUP($B$1,Inventory!$A$1:$BC$500,35,FALSE),IF(AND(B243=$G$7,pmt_timing="End"),VLOOKUP($B$1,Inventory!$A$1:$BC$500,35,FALSE),0))</f>
        <v>#N/A</v>
      </c>
      <c r="E243" s="78">
        <v>0</v>
      </c>
      <c r="F243" s="78">
        <v>0</v>
      </c>
      <c r="G243" s="78">
        <v>0</v>
      </c>
      <c r="H243" s="78">
        <v>0</v>
      </c>
      <c r="I243" s="78">
        <v>0</v>
      </c>
      <c r="J243" s="78">
        <v>0</v>
      </c>
      <c r="K243" s="78">
        <v>0</v>
      </c>
      <c r="L243" s="36" t="e">
        <f t="shared" ca="1" si="63"/>
        <v>#N/A</v>
      </c>
      <c r="M243" s="37" t="e">
        <f t="shared" ca="1" si="61"/>
        <v>#N/A</v>
      </c>
      <c r="N243" s="37" t="e">
        <f t="shared" ca="1" si="62"/>
        <v>#N/A</v>
      </c>
      <c r="P243" s="35" t="e">
        <f t="shared" ca="1" si="69"/>
        <v>#N/A</v>
      </c>
      <c r="Q243" s="59" t="e">
        <f t="shared" ca="1" si="64"/>
        <v>#N/A</v>
      </c>
      <c r="R243" s="44" t="e">
        <f t="shared" ca="1" si="65"/>
        <v>#N/A</v>
      </c>
      <c r="S243" s="37" t="e">
        <f ca="1">IF(P243="","",IF(P243="Total",SUM($S$19:S242),VLOOKUP($P243,$B$12:$L297,11,FALSE)))</f>
        <v>#N/A</v>
      </c>
      <c r="T243" s="44" t="e">
        <f ca="1">IF(payfreq="Annually",IF(P243="","",IF(P243="Total",SUM($T$19:T242),Adj_Rate*$R243)),IF(payfreq="Semiannually",IF(P243="","",IF(P243="Total",SUM($T$19:T242),Adj_Rate/2*$R243)),IF(payfreq="Quarterly",IF(P243="","",IF(P243="Total",SUM($T$19:T242),Adj_Rate/4*$R243)),IF(payfreq="Monthly",IF(P243="","",IF(P243="Total",SUM($T$19:T242),Adj_Rate/12*$R243)),""))))</f>
        <v>#N/A</v>
      </c>
      <c r="U243" s="37" t="e">
        <f t="shared" ca="1" si="66"/>
        <v>#N/A</v>
      </c>
      <c r="V243" s="44" t="e">
        <f t="shared" ca="1" si="67"/>
        <v>#N/A</v>
      </c>
    </row>
    <row r="244" spans="2:22">
      <c r="B244" s="38">
        <v>225</v>
      </c>
      <c r="C244" s="77" t="e">
        <f t="shared" ca="1" si="68"/>
        <v>#N/A</v>
      </c>
      <c r="D244" s="78" t="e">
        <f ca="1">+IF(AND(B244&lt;$G$7),VLOOKUP($B$1,Inventory!$A$1:$BC$500,35,FALSE),IF(AND(B244=$G$7,pmt_timing="End"),VLOOKUP($B$1,Inventory!$A$1:$BC$500,35,FALSE),0))</f>
        <v>#N/A</v>
      </c>
      <c r="E244" s="78">
        <v>0</v>
      </c>
      <c r="F244" s="78">
        <v>0</v>
      </c>
      <c r="G244" s="78">
        <v>0</v>
      </c>
      <c r="H244" s="78">
        <v>0</v>
      </c>
      <c r="I244" s="78">
        <v>0</v>
      </c>
      <c r="J244" s="78">
        <v>0</v>
      </c>
      <c r="K244" s="78">
        <v>0</v>
      </c>
      <c r="L244" s="36" t="e">
        <f t="shared" ca="1" si="63"/>
        <v>#N/A</v>
      </c>
      <c r="M244" s="37" t="e">
        <f t="shared" ca="1" si="61"/>
        <v>#N/A</v>
      </c>
      <c r="N244" s="37" t="e">
        <f t="shared" ca="1" si="62"/>
        <v>#N/A</v>
      </c>
      <c r="P244" s="35" t="e">
        <f t="shared" ca="1" si="69"/>
        <v>#N/A</v>
      </c>
      <c r="Q244" s="59" t="e">
        <f t="shared" ca="1" si="64"/>
        <v>#N/A</v>
      </c>
      <c r="R244" s="44" t="e">
        <f t="shared" ca="1" si="65"/>
        <v>#N/A</v>
      </c>
      <c r="S244" s="37" t="e">
        <f ca="1">IF(P244="","",IF(P244="Total",SUM($S$19:S243),VLOOKUP($P244,$B$12:$L298,11,FALSE)))</f>
        <v>#N/A</v>
      </c>
      <c r="T244" s="44" t="e">
        <f ca="1">IF(payfreq="Annually",IF(P244="","",IF(P244="Total",SUM($T$19:T243),Adj_Rate*$R244)),IF(payfreq="Semiannually",IF(P244="","",IF(P244="Total",SUM($T$19:T243),Adj_Rate/2*$R244)),IF(payfreq="Quarterly",IF(P244="","",IF(P244="Total",SUM($T$19:T243),Adj_Rate/4*$R244)),IF(payfreq="Monthly",IF(P244="","",IF(P244="Total",SUM($T$19:T243),Adj_Rate/12*$R244)),""))))</f>
        <v>#N/A</v>
      </c>
      <c r="U244" s="37" t="e">
        <f t="shared" ca="1" si="66"/>
        <v>#N/A</v>
      </c>
      <c r="V244" s="44" t="e">
        <f t="shared" ca="1" si="67"/>
        <v>#N/A</v>
      </c>
    </row>
    <row r="245" spans="2:22">
      <c r="B245" s="38">
        <v>226</v>
      </c>
      <c r="C245" s="77" t="e">
        <f t="shared" ca="1" si="68"/>
        <v>#N/A</v>
      </c>
      <c r="D245" s="78" t="e">
        <f ca="1">+IF(AND(B245&lt;$G$7),VLOOKUP($B$1,Inventory!$A$1:$BC$500,35,FALSE),IF(AND(B245=$G$7,pmt_timing="End"),VLOOKUP($B$1,Inventory!$A$1:$BC$500,35,FALSE),0))</f>
        <v>#N/A</v>
      </c>
      <c r="E245" s="78">
        <v>0</v>
      </c>
      <c r="F245" s="78">
        <v>0</v>
      </c>
      <c r="G245" s="78">
        <v>0</v>
      </c>
      <c r="H245" s="78">
        <v>0</v>
      </c>
      <c r="I245" s="78">
        <v>0</v>
      </c>
      <c r="J245" s="78">
        <v>0</v>
      </c>
      <c r="K245" s="78">
        <v>0</v>
      </c>
      <c r="L245" s="36" t="e">
        <f t="shared" ca="1" si="63"/>
        <v>#N/A</v>
      </c>
      <c r="M245" s="37" t="e">
        <f t="shared" ca="1" si="61"/>
        <v>#N/A</v>
      </c>
      <c r="N245" s="37" t="e">
        <f t="shared" ca="1" si="62"/>
        <v>#N/A</v>
      </c>
      <c r="P245" s="35" t="e">
        <f t="shared" ca="1" si="69"/>
        <v>#N/A</v>
      </c>
      <c r="Q245" s="59" t="e">
        <f t="shared" ca="1" si="64"/>
        <v>#N/A</v>
      </c>
      <c r="R245" s="44" t="e">
        <f t="shared" ca="1" si="65"/>
        <v>#N/A</v>
      </c>
      <c r="S245" s="37" t="e">
        <f ca="1">IF(P245="","",IF(P245="Total",SUM($S$19:S244),VLOOKUP($P245,$B$12:$L299,11,FALSE)))</f>
        <v>#N/A</v>
      </c>
      <c r="T245" s="44" t="e">
        <f ca="1">IF(payfreq="Annually",IF(P245="","",IF(P245="Total",SUM($T$19:T244),Adj_Rate*$R245)),IF(payfreq="Semiannually",IF(P245="","",IF(P245="Total",SUM($T$19:T244),Adj_Rate/2*$R245)),IF(payfreq="Quarterly",IF(P245="","",IF(P245="Total",SUM($T$19:T244),Adj_Rate/4*$R245)),IF(payfreq="Monthly",IF(P245="","",IF(P245="Total",SUM($T$19:T244),Adj_Rate/12*$R245)),""))))</f>
        <v>#N/A</v>
      </c>
      <c r="U245" s="37" t="e">
        <f t="shared" ca="1" si="66"/>
        <v>#N/A</v>
      </c>
      <c r="V245" s="44" t="e">
        <f t="shared" ca="1" si="67"/>
        <v>#N/A</v>
      </c>
    </row>
    <row r="246" spans="2:22">
      <c r="B246" s="38">
        <v>227</v>
      </c>
      <c r="C246" s="77" t="e">
        <f t="shared" ca="1" si="68"/>
        <v>#N/A</v>
      </c>
      <c r="D246" s="78" t="e">
        <f ca="1">+IF(AND(B246&lt;$G$7),VLOOKUP($B$1,Inventory!$A$1:$BC$500,35,FALSE),IF(AND(B246=$G$7,pmt_timing="End"),VLOOKUP($B$1,Inventory!$A$1:$BC$500,35,FALSE),0))</f>
        <v>#N/A</v>
      </c>
      <c r="E246" s="78">
        <v>0</v>
      </c>
      <c r="F246" s="78">
        <v>0</v>
      </c>
      <c r="G246" s="78">
        <v>0</v>
      </c>
      <c r="H246" s="78">
        <v>0</v>
      </c>
      <c r="I246" s="78">
        <v>0</v>
      </c>
      <c r="J246" s="78">
        <v>0</v>
      </c>
      <c r="K246" s="78">
        <v>0</v>
      </c>
      <c r="L246" s="36" t="e">
        <f t="shared" ca="1" si="63"/>
        <v>#N/A</v>
      </c>
      <c r="M246" s="37" t="e">
        <f t="shared" ca="1" si="61"/>
        <v>#N/A</v>
      </c>
      <c r="N246" s="37" t="e">
        <f t="shared" ca="1" si="62"/>
        <v>#N/A</v>
      </c>
      <c r="P246" s="35" t="e">
        <f t="shared" ca="1" si="69"/>
        <v>#N/A</v>
      </c>
      <c r="Q246" s="59" t="e">
        <f t="shared" ca="1" si="64"/>
        <v>#N/A</v>
      </c>
      <c r="R246" s="44" t="e">
        <f t="shared" ca="1" si="65"/>
        <v>#N/A</v>
      </c>
      <c r="S246" s="37" t="e">
        <f ca="1">IF(P246="","",IF(P246="Total",SUM($S$19:S245),VLOOKUP($P246,$B$12:$L300,11,FALSE)))</f>
        <v>#N/A</v>
      </c>
      <c r="T246" s="44" t="e">
        <f ca="1">IF(payfreq="Annually",IF(P246="","",IF(P246="Total",SUM($T$19:T245),Adj_Rate*$R246)),IF(payfreq="Semiannually",IF(P246="","",IF(P246="Total",SUM($T$19:T245),Adj_Rate/2*$R246)),IF(payfreq="Quarterly",IF(P246="","",IF(P246="Total",SUM($T$19:T245),Adj_Rate/4*$R246)),IF(payfreq="Monthly",IF(P246="","",IF(P246="Total",SUM($T$19:T245),Adj_Rate/12*$R246)),""))))</f>
        <v>#N/A</v>
      </c>
      <c r="U246" s="37" t="e">
        <f t="shared" ca="1" si="66"/>
        <v>#N/A</v>
      </c>
      <c r="V246" s="44" t="e">
        <f t="shared" ca="1" si="67"/>
        <v>#N/A</v>
      </c>
    </row>
    <row r="247" spans="2:22">
      <c r="B247" s="38">
        <v>228</v>
      </c>
      <c r="C247" s="77" t="e">
        <f t="shared" ca="1" si="68"/>
        <v>#N/A</v>
      </c>
      <c r="D247" s="78" t="e">
        <f ca="1">+IF(AND(B247&lt;$G$7),VLOOKUP($B$1,Inventory!$A$1:$BC$500,35,FALSE),IF(AND(B247=$G$7,pmt_timing="End"),VLOOKUP($B$1,Inventory!$A$1:$BC$500,35,FALSE),0))</f>
        <v>#N/A</v>
      </c>
      <c r="E247" s="78">
        <v>0</v>
      </c>
      <c r="F247" s="78">
        <v>0</v>
      </c>
      <c r="G247" s="78">
        <v>0</v>
      </c>
      <c r="H247" s="78">
        <v>0</v>
      </c>
      <c r="I247" s="78">
        <v>0</v>
      </c>
      <c r="J247" s="78">
        <v>0</v>
      </c>
      <c r="K247" s="78">
        <v>0</v>
      </c>
      <c r="L247" s="36" t="e">
        <f t="shared" ca="1" si="63"/>
        <v>#N/A</v>
      </c>
      <c r="M247" s="37" t="e">
        <f t="shared" ca="1" si="61"/>
        <v>#N/A</v>
      </c>
      <c r="N247" s="37" t="e">
        <f t="shared" ca="1" si="62"/>
        <v>#N/A</v>
      </c>
      <c r="P247" s="35" t="e">
        <f t="shared" ca="1" si="69"/>
        <v>#N/A</v>
      </c>
      <c r="Q247" s="59" t="e">
        <f t="shared" ca="1" si="64"/>
        <v>#N/A</v>
      </c>
      <c r="R247" s="44" t="e">
        <f t="shared" ca="1" si="65"/>
        <v>#N/A</v>
      </c>
      <c r="S247" s="37" t="e">
        <f ca="1">IF(P247="","",IF(P247="Total",SUM($S$19:S246),VLOOKUP($P247,$B$12:$L301,11,FALSE)))</f>
        <v>#N/A</v>
      </c>
      <c r="T247" s="44" t="e">
        <f ca="1">IF(payfreq="Annually",IF(P247="","",IF(P247="Total",SUM($T$19:T246),Adj_Rate*$R247)),IF(payfreq="Semiannually",IF(P247="","",IF(P247="Total",SUM($T$19:T246),Adj_Rate/2*$R247)),IF(payfreq="Quarterly",IF(P247="","",IF(P247="Total",SUM($T$19:T246),Adj_Rate/4*$R247)),IF(payfreq="Monthly",IF(P247="","",IF(P247="Total",SUM($T$19:T246),Adj_Rate/12*$R247)),""))))</f>
        <v>#N/A</v>
      </c>
      <c r="U247" s="37" t="e">
        <f t="shared" ca="1" si="66"/>
        <v>#N/A</v>
      </c>
      <c r="V247" s="44" t="e">
        <f t="shared" ca="1" si="67"/>
        <v>#N/A</v>
      </c>
    </row>
    <row r="248" spans="2:22">
      <c r="B248" s="38">
        <v>229</v>
      </c>
      <c r="C248" s="77" t="e">
        <f t="shared" ca="1" si="68"/>
        <v>#N/A</v>
      </c>
      <c r="D248" s="78" t="e">
        <f ca="1">+IF(AND(B248&lt;$G$7),VLOOKUP($B$1,Inventory!$A$1:$BC$500,35,FALSE),IF(AND(B248=$G$7,pmt_timing="End"),VLOOKUP($B$1,Inventory!$A$1:$BC$500,35,FALSE),0))</f>
        <v>#N/A</v>
      </c>
      <c r="E248" s="78">
        <v>0</v>
      </c>
      <c r="F248" s="78">
        <v>0</v>
      </c>
      <c r="G248" s="78">
        <v>0</v>
      </c>
      <c r="H248" s="78">
        <v>0</v>
      </c>
      <c r="I248" s="78">
        <v>0</v>
      </c>
      <c r="J248" s="78">
        <v>0</v>
      </c>
      <c r="K248" s="78">
        <v>0</v>
      </c>
      <c r="L248" s="36" t="e">
        <f t="shared" ca="1" si="63"/>
        <v>#N/A</v>
      </c>
      <c r="M248" s="37" t="e">
        <f t="shared" ca="1" si="61"/>
        <v>#N/A</v>
      </c>
      <c r="N248" s="37" t="e">
        <f t="shared" ca="1" si="62"/>
        <v>#N/A</v>
      </c>
      <c r="P248" s="35" t="e">
        <f t="shared" ca="1" si="69"/>
        <v>#N/A</v>
      </c>
      <c r="Q248" s="59" t="e">
        <f t="shared" ca="1" si="64"/>
        <v>#N/A</v>
      </c>
      <c r="R248" s="44" t="e">
        <f t="shared" ca="1" si="65"/>
        <v>#N/A</v>
      </c>
      <c r="S248" s="37" t="e">
        <f ca="1">IF(P248="","",IF(P248="Total",SUM($S$19:S247),VLOOKUP($P248,$B$12:$L302,11,FALSE)))</f>
        <v>#N/A</v>
      </c>
      <c r="T248" s="44" t="e">
        <f ca="1">IF(payfreq="Annually",IF(P248="","",IF(P248="Total",SUM($T$19:T247),Adj_Rate*$R248)),IF(payfreq="Semiannually",IF(P248="","",IF(P248="Total",SUM($T$19:T247),Adj_Rate/2*$R248)),IF(payfreq="Quarterly",IF(P248="","",IF(P248="Total",SUM($T$19:T247),Adj_Rate/4*$R248)),IF(payfreq="Monthly",IF(P248="","",IF(P248="Total",SUM($T$19:T247),Adj_Rate/12*$R248)),""))))</f>
        <v>#N/A</v>
      </c>
      <c r="U248" s="37" t="e">
        <f t="shared" ca="1" si="66"/>
        <v>#N/A</v>
      </c>
      <c r="V248" s="44" t="e">
        <f t="shared" ca="1" si="67"/>
        <v>#N/A</v>
      </c>
    </row>
    <row r="249" spans="2:22">
      <c r="B249" s="38">
        <v>230</v>
      </c>
      <c r="C249" s="77" t="e">
        <f t="shared" ca="1" si="68"/>
        <v>#N/A</v>
      </c>
      <c r="D249" s="78" t="e">
        <f ca="1">+IF(AND(B249&lt;$G$7),VLOOKUP($B$1,Inventory!$A$1:$BC$500,35,FALSE),IF(AND(B249=$G$7,pmt_timing="End"),VLOOKUP($B$1,Inventory!$A$1:$BC$500,35,FALSE),0))</f>
        <v>#N/A</v>
      </c>
      <c r="E249" s="78">
        <v>0</v>
      </c>
      <c r="F249" s="78">
        <v>0</v>
      </c>
      <c r="G249" s="78">
        <v>0</v>
      </c>
      <c r="H249" s="78">
        <v>0</v>
      </c>
      <c r="I249" s="78">
        <v>0</v>
      </c>
      <c r="J249" s="78">
        <v>0</v>
      </c>
      <c r="K249" s="78">
        <v>0</v>
      </c>
      <c r="L249" s="36" t="e">
        <f t="shared" ca="1" si="63"/>
        <v>#N/A</v>
      </c>
      <c r="M249" s="37" t="e">
        <f t="shared" ca="1" si="61"/>
        <v>#N/A</v>
      </c>
      <c r="N249" s="37" t="e">
        <f t="shared" ca="1" si="62"/>
        <v>#N/A</v>
      </c>
      <c r="P249" s="35" t="e">
        <f t="shared" ca="1" si="69"/>
        <v>#N/A</v>
      </c>
      <c r="Q249" s="59" t="e">
        <f t="shared" ca="1" si="64"/>
        <v>#N/A</v>
      </c>
      <c r="R249" s="44" t="e">
        <f t="shared" ca="1" si="65"/>
        <v>#N/A</v>
      </c>
      <c r="S249" s="37" t="e">
        <f ca="1">IF(P249="","",IF(P249="Total",SUM($S$19:S248),VLOOKUP($P249,$B$12:$L303,11,FALSE)))</f>
        <v>#N/A</v>
      </c>
      <c r="T249" s="44" t="e">
        <f ca="1">IF(payfreq="Annually",IF(P249="","",IF(P249="Total",SUM($T$19:T248),Adj_Rate*$R249)),IF(payfreq="Semiannually",IF(P249="","",IF(P249="Total",SUM($T$19:T248),Adj_Rate/2*$R249)),IF(payfreq="Quarterly",IF(P249="","",IF(P249="Total",SUM($T$19:T248),Adj_Rate/4*$R249)),IF(payfreq="Monthly",IF(P249="","",IF(P249="Total",SUM($T$19:T248),Adj_Rate/12*$R249)),""))))</f>
        <v>#N/A</v>
      </c>
      <c r="U249" s="37" t="e">
        <f t="shared" ca="1" si="66"/>
        <v>#N/A</v>
      </c>
      <c r="V249" s="44" t="e">
        <f t="shared" ca="1" si="67"/>
        <v>#N/A</v>
      </c>
    </row>
    <row r="250" spans="2:22">
      <c r="B250" s="38">
        <v>231</v>
      </c>
      <c r="C250" s="77" t="e">
        <f t="shared" ca="1" si="68"/>
        <v>#N/A</v>
      </c>
      <c r="D250" s="78" t="e">
        <f ca="1">+IF(AND(B250&lt;$G$7),VLOOKUP($B$1,Inventory!$A$1:$BC$500,35,FALSE),IF(AND(B250=$G$7,pmt_timing="End"),VLOOKUP($B$1,Inventory!$A$1:$BC$500,35,FALSE),0))</f>
        <v>#N/A</v>
      </c>
      <c r="E250" s="78">
        <v>0</v>
      </c>
      <c r="F250" s="78">
        <v>0</v>
      </c>
      <c r="G250" s="78">
        <v>0</v>
      </c>
      <c r="H250" s="78">
        <v>0</v>
      </c>
      <c r="I250" s="78">
        <v>0</v>
      </c>
      <c r="J250" s="78">
        <v>0</v>
      </c>
      <c r="K250" s="78">
        <v>0</v>
      </c>
      <c r="L250" s="36" t="e">
        <f t="shared" ca="1" si="63"/>
        <v>#N/A</v>
      </c>
      <c r="M250" s="37" t="e">
        <f t="shared" ca="1" si="61"/>
        <v>#N/A</v>
      </c>
      <c r="N250" s="37" t="e">
        <f t="shared" ca="1" si="62"/>
        <v>#N/A</v>
      </c>
      <c r="P250" s="35" t="e">
        <f t="shared" ca="1" si="69"/>
        <v>#N/A</v>
      </c>
      <c r="Q250" s="59" t="e">
        <f t="shared" ca="1" si="64"/>
        <v>#N/A</v>
      </c>
      <c r="R250" s="44" t="e">
        <f t="shared" ca="1" si="65"/>
        <v>#N/A</v>
      </c>
      <c r="S250" s="37" t="e">
        <f ca="1">IF(P250="","",IF(P250="Total",SUM($S$19:S249),VLOOKUP($P250,$B$12:$L304,11,FALSE)))</f>
        <v>#N/A</v>
      </c>
      <c r="T250" s="44" t="e">
        <f ca="1">IF(payfreq="Annually",IF(P250="","",IF(P250="Total",SUM($T$19:T249),Adj_Rate*$R250)),IF(payfreq="Semiannually",IF(P250="","",IF(P250="Total",SUM($T$19:T249),Adj_Rate/2*$R250)),IF(payfreq="Quarterly",IF(P250="","",IF(P250="Total",SUM($T$19:T249),Adj_Rate/4*$R250)),IF(payfreq="Monthly",IF(P250="","",IF(P250="Total",SUM($T$19:T249),Adj_Rate/12*$R250)),""))))</f>
        <v>#N/A</v>
      </c>
      <c r="U250" s="37" t="e">
        <f t="shared" ca="1" si="66"/>
        <v>#N/A</v>
      </c>
      <c r="V250" s="44" t="e">
        <f t="shared" ca="1" si="67"/>
        <v>#N/A</v>
      </c>
    </row>
    <row r="251" spans="2:22">
      <c r="B251" s="38">
        <v>232</v>
      </c>
      <c r="C251" s="77" t="e">
        <f t="shared" ca="1" si="68"/>
        <v>#N/A</v>
      </c>
      <c r="D251" s="78" t="e">
        <f ca="1">+IF(AND(B251&lt;$G$7),VLOOKUP($B$1,Inventory!$A$1:$BC$500,35,FALSE),IF(AND(B251=$G$7,pmt_timing="End"),VLOOKUP($B$1,Inventory!$A$1:$BC$500,35,FALSE),0))</f>
        <v>#N/A</v>
      </c>
      <c r="E251" s="78">
        <v>0</v>
      </c>
      <c r="F251" s="78">
        <v>0</v>
      </c>
      <c r="G251" s="78">
        <v>0</v>
      </c>
      <c r="H251" s="78">
        <v>0</v>
      </c>
      <c r="I251" s="78">
        <v>0</v>
      </c>
      <c r="J251" s="78">
        <v>0</v>
      </c>
      <c r="K251" s="78">
        <v>0</v>
      </c>
      <c r="L251" s="36" t="e">
        <f t="shared" ca="1" si="63"/>
        <v>#N/A</v>
      </c>
      <c r="M251" s="37" t="e">
        <f t="shared" ca="1" si="61"/>
        <v>#N/A</v>
      </c>
      <c r="N251" s="37" t="e">
        <f t="shared" ca="1" si="62"/>
        <v>#N/A</v>
      </c>
      <c r="P251" s="35" t="e">
        <f t="shared" ca="1" si="69"/>
        <v>#N/A</v>
      </c>
      <c r="Q251" s="59" t="e">
        <f t="shared" ca="1" si="64"/>
        <v>#N/A</v>
      </c>
      <c r="R251" s="44" t="e">
        <f t="shared" ca="1" si="65"/>
        <v>#N/A</v>
      </c>
      <c r="S251" s="37" t="e">
        <f ca="1">IF(P251="","",IF(P251="Total",SUM($S$19:S250),VLOOKUP($P251,$B$12:$L305,11,FALSE)))</f>
        <v>#N/A</v>
      </c>
      <c r="T251" s="44" t="e">
        <f ca="1">IF(payfreq="Annually",IF(P251="","",IF(P251="Total",SUM($T$19:T250),Adj_Rate*$R251)),IF(payfreq="Semiannually",IF(P251="","",IF(P251="Total",SUM($T$19:T250),Adj_Rate/2*$R251)),IF(payfreq="Quarterly",IF(P251="","",IF(P251="Total",SUM($T$19:T250),Adj_Rate/4*$R251)),IF(payfreq="Monthly",IF(P251="","",IF(P251="Total",SUM($T$19:T250),Adj_Rate/12*$R251)),""))))</f>
        <v>#N/A</v>
      </c>
      <c r="U251" s="37" t="e">
        <f t="shared" ca="1" si="66"/>
        <v>#N/A</v>
      </c>
      <c r="V251" s="44" t="e">
        <f t="shared" ca="1" si="67"/>
        <v>#N/A</v>
      </c>
    </row>
    <row r="252" spans="2:22">
      <c r="B252" s="38">
        <v>233</v>
      </c>
      <c r="C252" s="77" t="e">
        <f t="shared" ca="1" si="68"/>
        <v>#N/A</v>
      </c>
      <c r="D252" s="78" t="e">
        <f ca="1">+IF(AND(B252&lt;$G$7),VLOOKUP($B$1,Inventory!$A$1:$BC$500,35,FALSE),IF(AND(B252=$G$7,pmt_timing="End"),VLOOKUP($B$1,Inventory!$A$1:$BC$500,35,FALSE),0))</f>
        <v>#N/A</v>
      </c>
      <c r="E252" s="78">
        <v>0</v>
      </c>
      <c r="F252" s="78">
        <v>0</v>
      </c>
      <c r="G252" s="78">
        <v>0</v>
      </c>
      <c r="H252" s="78">
        <v>0</v>
      </c>
      <c r="I252" s="78">
        <v>0</v>
      </c>
      <c r="J252" s="78">
        <v>0</v>
      </c>
      <c r="K252" s="78">
        <v>0</v>
      </c>
      <c r="L252" s="36" t="e">
        <f t="shared" ca="1" si="63"/>
        <v>#N/A</v>
      </c>
      <c r="M252" s="37" t="e">
        <f t="shared" ca="1" si="61"/>
        <v>#N/A</v>
      </c>
      <c r="N252" s="37" t="e">
        <f t="shared" ca="1" si="62"/>
        <v>#N/A</v>
      </c>
      <c r="P252" s="35" t="e">
        <f t="shared" ca="1" si="69"/>
        <v>#N/A</v>
      </c>
      <c r="Q252" s="59" t="e">
        <f t="shared" ca="1" si="64"/>
        <v>#N/A</v>
      </c>
      <c r="R252" s="44" t="e">
        <f t="shared" ca="1" si="65"/>
        <v>#N/A</v>
      </c>
      <c r="S252" s="37" t="e">
        <f ca="1">IF(P252="","",IF(P252="Total",SUM($S$19:S251),VLOOKUP($P252,$B$12:$L306,11,FALSE)))</f>
        <v>#N/A</v>
      </c>
      <c r="T252" s="44" t="e">
        <f ca="1">IF(payfreq="Annually",IF(P252="","",IF(P252="Total",SUM($T$19:T251),Adj_Rate*$R252)),IF(payfreq="Semiannually",IF(P252="","",IF(P252="Total",SUM($T$19:T251),Adj_Rate/2*$R252)),IF(payfreq="Quarterly",IF(P252="","",IF(P252="Total",SUM($T$19:T251),Adj_Rate/4*$R252)),IF(payfreq="Monthly",IF(P252="","",IF(P252="Total",SUM($T$19:T251),Adj_Rate/12*$R252)),""))))</f>
        <v>#N/A</v>
      </c>
      <c r="U252" s="37" t="e">
        <f t="shared" ca="1" si="66"/>
        <v>#N/A</v>
      </c>
      <c r="V252" s="44" t="e">
        <f t="shared" ca="1" si="67"/>
        <v>#N/A</v>
      </c>
    </row>
    <row r="253" spans="2:22">
      <c r="B253" s="38">
        <v>234</v>
      </c>
      <c r="C253" s="77" t="e">
        <f t="shared" ca="1" si="68"/>
        <v>#N/A</v>
      </c>
      <c r="D253" s="78" t="e">
        <f ca="1">+IF(AND(B253&lt;$G$7),VLOOKUP($B$1,Inventory!$A$1:$BC$500,35,FALSE),IF(AND(B253=$G$7,pmt_timing="End"),VLOOKUP($B$1,Inventory!$A$1:$BC$500,35,FALSE),0))</f>
        <v>#N/A</v>
      </c>
      <c r="E253" s="78">
        <v>0</v>
      </c>
      <c r="F253" s="78">
        <v>0</v>
      </c>
      <c r="G253" s="78">
        <v>0</v>
      </c>
      <c r="H253" s="78">
        <v>0</v>
      </c>
      <c r="I253" s="78">
        <v>0</v>
      </c>
      <c r="J253" s="78">
        <v>0</v>
      </c>
      <c r="K253" s="78">
        <v>0</v>
      </c>
      <c r="L253" s="36" t="e">
        <f t="shared" ca="1" si="63"/>
        <v>#N/A</v>
      </c>
      <c r="M253" s="37" t="e">
        <f t="shared" ca="1" si="61"/>
        <v>#N/A</v>
      </c>
      <c r="N253" s="37" t="e">
        <f t="shared" ca="1" si="62"/>
        <v>#N/A</v>
      </c>
      <c r="P253" s="35" t="e">
        <f t="shared" ca="1" si="69"/>
        <v>#N/A</v>
      </c>
      <c r="Q253" s="59" t="e">
        <f t="shared" ca="1" si="64"/>
        <v>#N/A</v>
      </c>
      <c r="R253" s="44" t="e">
        <f t="shared" ca="1" si="65"/>
        <v>#N/A</v>
      </c>
      <c r="S253" s="37" t="e">
        <f ca="1">IF(P253="","",IF(P253="Total",SUM($S$19:S252),VLOOKUP($P253,$B$12:$L307,11,FALSE)))</f>
        <v>#N/A</v>
      </c>
      <c r="T253" s="44" t="e">
        <f ca="1">IF(payfreq="Annually",IF(P253="","",IF(P253="Total",SUM($T$19:T252),Adj_Rate*$R253)),IF(payfreq="Semiannually",IF(P253="","",IF(P253="Total",SUM($T$19:T252),Adj_Rate/2*$R253)),IF(payfreq="Quarterly",IF(P253="","",IF(P253="Total",SUM($T$19:T252),Adj_Rate/4*$R253)),IF(payfreq="Monthly",IF(P253="","",IF(P253="Total",SUM($T$19:T252),Adj_Rate/12*$R253)),""))))</f>
        <v>#N/A</v>
      </c>
      <c r="U253" s="37" t="e">
        <f t="shared" ca="1" si="66"/>
        <v>#N/A</v>
      </c>
      <c r="V253" s="44" t="e">
        <f t="shared" ca="1" si="67"/>
        <v>#N/A</v>
      </c>
    </row>
    <row r="254" spans="2:22">
      <c r="B254" s="38">
        <v>235</v>
      </c>
      <c r="C254" s="77" t="e">
        <f t="shared" ca="1" si="68"/>
        <v>#N/A</v>
      </c>
      <c r="D254" s="78" t="e">
        <f ca="1">+IF(AND(B254&lt;$G$7),VLOOKUP($B$1,Inventory!$A$1:$BC$500,35,FALSE),IF(AND(B254=$G$7,pmt_timing="End"),VLOOKUP($B$1,Inventory!$A$1:$BC$500,35,FALSE),0))</f>
        <v>#N/A</v>
      </c>
      <c r="E254" s="78">
        <v>0</v>
      </c>
      <c r="F254" s="78">
        <v>0</v>
      </c>
      <c r="G254" s="78">
        <v>0</v>
      </c>
      <c r="H254" s="78">
        <v>0</v>
      </c>
      <c r="I254" s="78">
        <v>0</v>
      </c>
      <c r="J254" s="78">
        <v>0</v>
      </c>
      <c r="K254" s="78">
        <v>0</v>
      </c>
      <c r="L254" s="36" t="e">
        <f t="shared" ca="1" si="63"/>
        <v>#N/A</v>
      </c>
      <c r="M254" s="37" t="e">
        <f t="shared" ca="1" si="61"/>
        <v>#N/A</v>
      </c>
      <c r="N254" s="37" t="e">
        <f t="shared" ca="1" si="62"/>
        <v>#N/A</v>
      </c>
      <c r="P254" s="35" t="e">
        <f t="shared" ca="1" si="69"/>
        <v>#N/A</v>
      </c>
      <c r="Q254" s="59" t="e">
        <f t="shared" ca="1" si="64"/>
        <v>#N/A</v>
      </c>
      <c r="R254" s="44" t="e">
        <f t="shared" ca="1" si="65"/>
        <v>#N/A</v>
      </c>
      <c r="S254" s="37" t="e">
        <f ca="1">IF(P254="","",IF(P254="Total",SUM($S$19:S253),VLOOKUP($P254,$B$12:$L308,11,FALSE)))</f>
        <v>#N/A</v>
      </c>
      <c r="T254" s="44" t="e">
        <f ca="1">IF(payfreq="Annually",IF(P254="","",IF(P254="Total",SUM($T$19:T253),Adj_Rate*$R254)),IF(payfreq="Semiannually",IF(P254="","",IF(P254="Total",SUM($T$19:T253),Adj_Rate/2*$R254)),IF(payfreq="Quarterly",IF(P254="","",IF(P254="Total",SUM($T$19:T253),Adj_Rate/4*$R254)),IF(payfreq="Monthly",IF(P254="","",IF(P254="Total",SUM($T$19:T253),Adj_Rate/12*$R254)),""))))</f>
        <v>#N/A</v>
      </c>
      <c r="U254" s="37" t="e">
        <f t="shared" ca="1" si="66"/>
        <v>#N/A</v>
      </c>
      <c r="V254" s="44" t="e">
        <f t="shared" ca="1" si="67"/>
        <v>#N/A</v>
      </c>
    </row>
    <row r="255" spans="2:22">
      <c r="B255" s="38">
        <v>236</v>
      </c>
      <c r="C255" s="77" t="e">
        <f t="shared" ca="1" si="68"/>
        <v>#N/A</v>
      </c>
      <c r="D255" s="78" t="e">
        <f ca="1">+IF(AND(B255&lt;$G$7),VLOOKUP($B$1,Inventory!$A$1:$BC$500,35,FALSE),IF(AND(B255=$G$7,pmt_timing="End"),VLOOKUP($B$1,Inventory!$A$1:$BC$500,35,FALSE),0))</f>
        <v>#N/A</v>
      </c>
      <c r="E255" s="78">
        <v>0</v>
      </c>
      <c r="F255" s="78">
        <v>0</v>
      </c>
      <c r="G255" s="78">
        <v>0</v>
      </c>
      <c r="H255" s="78">
        <v>0</v>
      </c>
      <c r="I255" s="78">
        <v>0</v>
      </c>
      <c r="J255" s="78">
        <v>0</v>
      </c>
      <c r="K255" s="78">
        <v>0</v>
      </c>
      <c r="L255" s="36" t="e">
        <f t="shared" ca="1" si="63"/>
        <v>#N/A</v>
      </c>
      <c r="M255" s="37" t="e">
        <f t="shared" ca="1" si="61"/>
        <v>#N/A</v>
      </c>
      <c r="N255" s="37" t="e">
        <f t="shared" ca="1" si="62"/>
        <v>#N/A</v>
      </c>
      <c r="P255" s="35" t="e">
        <f t="shared" ca="1" si="69"/>
        <v>#N/A</v>
      </c>
      <c r="Q255" s="59" t="e">
        <f t="shared" ca="1" si="64"/>
        <v>#N/A</v>
      </c>
      <c r="R255" s="44" t="e">
        <f t="shared" ca="1" si="65"/>
        <v>#N/A</v>
      </c>
      <c r="S255" s="37" t="e">
        <f ca="1">IF(P255="","",IF(P255="Total",SUM($S$19:S254),VLOOKUP($P255,$B$12:$L309,11,FALSE)))</f>
        <v>#N/A</v>
      </c>
      <c r="T255" s="44" t="e">
        <f ca="1">IF(payfreq="Annually",IF(P255="","",IF(P255="Total",SUM($T$19:T254),Adj_Rate*$R255)),IF(payfreq="Semiannually",IF(P255="","",IF(P255="Total",SUM($T$19:T254),Adj_Rate/2*$R255)),IF(payfreq="Quarterly",IF(P255="","",IF(P255="Total",SUM($T$19:T254),Adj_Rate/4*$R255)),IF(payfreq="Monthly",IF(P255="","",IF(P255="Total",SUM($T$19:T254),Adj_Rate/12*$R255)),""))))</f>
        <v>#N/A</v>
      </c>
      <c r="U255" s="37" t="e">
        <f t="shared" ca="1" si="66"/>
        <v>#N/A</v>
      </c>
      <c r="V255" s="44" t="e">
        <f t="shared" ca="1" si="67"/>
        <v>#N/A</v>
      </c>
    </row>
    <row r="256" spans="2:22">
      <c r="B256" s="38">
        <v>237</v>
      </c>
      <c r="C256" s="77" t="e">
        <f t="shared" ca="1" si="68"/>
        <v>#N/A</v>
      </c>
      <c r="D256" s="78" t="e">
        <f ca="1">+IF(AND(B256&lt;$G$7),VLOOKUP($B$1,Inventory!$A$1:$BC$500,35,FALSE),IF(AND(B256=$G$7,pmt_timing="End"),VLOOKUP($B$1,Inventory!$A$1:$BC$500,35,FALSE),0))</f>
        <v>#N/A</v>
      </c>
      <c r="E256" s="78">
        <v>0</v>
      </c>
      <c r="F256" s="78">
        <v>0</v>
      </c>
      <c r="G256" s="78">
        <v>0</v>
      </c>
      <c r="H256" s="78">
        <v>0</v>
      </c>
      <c r="I256" s="78">
        <v>0</v>
      </c>
      <c r="J256" s="78">
        <v>0</v>
      </c>
      <c r="K256" s="78">
        <v>0</v>
      </c>
      <c r="L256" s="36" t="e">
        <f t="shared" ca="1" si="63"/>
        <v>#N/A</v>
      </c>
      <c r="M256" s="37" t="e">
        <f t="shared" ca="1" si="61"/>
        <v>#N/A</v>
      </c>
      <c r="N256" s="37" t="e">
        <f t="shared" ca="1" si="62"/>
        <v>#N/A</v>
      </c>
      <c r="P256" s="35" t="e">
        <f t="shared" ca="1" si="69"/>
        <v>#N/A</v>
      </c>
      <c r="Q256" s="59" t="e">
        <f t="shared" ca="1" si="64"/>
        <v>#N/A</v>
      </c>
      <c r="R256" s="44" t="e">
        <f t="shared" ca="1" si="65"/>
        <v>#N/A</v>
      </c>
      <c r="S256" s="37" t="e">
        <f ca="1">IF(P256="","",IF(P256="Total",SUM($S$19:S255),VLOOKUP($P256,$B$12:$L310,11,FALSE)))</f>
        <v>#N/A</v>
      </c>
      <c r="T256" s="44" t="e">
        <f ca="1">IF(payfreq="Annually",IF(P256="","",IF(P256="Total",SUM($T$19:T255),Adj_Rate*$R256)),IF(payfreq="Semiannually",IF(P256="","",IF(P256="Total",SUM($T$19:T255),Adj_Rate/2*$R256)),IF(payfreq="Quarterly",IF(P256="","",IF(P256="Total",SUM($T$19:T255),Adj_Rate/4*$R256)),IF(payfreq="Monthly",IF(P256="","",IF(P256="Total",SUM($T$19:T255),Adj_Rate/12*$R256)),""))))</f>
        <v>#N/A</v>
      </c>
      <c r="U256" s="37" t="e">
        <f t="shared" ca="1" si="66"/>
        <v>#N/A</v>
      </c>
      <c r="V256" s="44" t="e">
        <f t="shared" ca="1" si="67"/>
        <v>#N/A</v>
      </c>
    </row>
    <row r="257" spans="2:22">
      <c r="B257" s="38">
        <v>238</v>
      </c>
      <c r="C257" s="77" t="e">
        <f t="shared" ca="1" si="68"/>
        <v>#N/A</v>
      </c>
      <c r="D257" s="78" t="e">
        <f ca="1">+IF(AND(B257&lt;$G$7),VLOOKUP($B$1,Inventory!$A$1:$BC$500,35,FALSE),IF(AND(B257=$G$7,pmt_timing="End"),VLOOKUP($B$1,Inventory!$A$1:$BC$500,35,FALSE),0))</f>
        <v>#N/A</v>
      </c>
      <c r="E257" s="78">
        <v>0</v>
      </c>
      <c r="F257" s="78">
        <v>0</v>
      </c>
      <c r="G257" s="78">
        <v>0</v>
      </c>
      <c r="H257" s="78">
        <v>0</v>
      </c>
      <c r="I257" s="78">
        <v>0</v>
      </c>
      <c r="J257" s="78">
        <v>0</v>
      </c>
      <c r="K257" s="78">
        <v>0</v>
      </c>
      <c r="L257" s="36" t="e">
        <f t="shared" ca="1" si="63"/>
        <v>#N/A</v>
      </c>
      <c r="M257" s="37" t="e">
        <f t="shared" ca="1" si="61"/>
        <v>#N/A</v>
      </c>
      <c r="N257" s="37" t="e">
        <f t="shared" ca="1" si="62"/>
        <v>#N/A</v>
      </c>
      <c r="P257" s="35" t="e">
        <f t="shared" ca="1" si="69"/>
        <v>#N/A</v>
      </c>
      <c r="Q257" s="59" t="e">
        <f t="shared" ca="1" si="64"/>
        <v>#N/A</v>
      </c>
      <c r="R257" s="44" t="e">
        <f t="shared" ca="1" si="65"/>
        <v>#N/A</v>
      </c>
      <c r="S257" s="37" t="e">
        <f ca="1">IF(P257="","",IF(P257="Total",SUM($S$19:S256),VLOOKUP($P257,$B$12:$L311,11,FALSE)))</f>
        <v>#N/A</v>
      </c>
      <c r="T257" s="44" t="e">
        <f ca="1">IF(payfreq="Annually",IF(P257="","",IF(P257="Total",SUM($T$19:T256),Adj_Rate*$R257)),IF(payfreq="Semiannually",IF(P257="","",IF(P257="Total",SUM($T$19:T256),Adj_Rate/2*$R257)),IF(payfreq="Quarterly",IF(P257="","",IF(P257="Total",SUM($T$19:T256),Adj_Rate/4*$R257)),IF(payfreq="Monthly",IF(P257="","",IF(P257="Total",SUM($T$19:T256),Adj_Rate/12*$R257)),""))))</f>
        <v>#N/A</v>
      </c>
      <c r="U257" s="37" t="e">
        <f t="shared" ca="1" si="66"/>
        <v>#N/A</v>
      </c>
      <c r="V257" s="44" t="e">
        <f t="shared" ca="1" si="67"/>
        <v>#N/A</v>
      </c>
    </row>
    <row r="258" spans="2:22">
      <c r="B258" s="38">
        <v>239</v>
      </c>
      <c r="C258" s="77" t="e">
        <f t="shared" ca="1" si="68"/>
        <v>#N/A</v>
      </c>
      <c r="D258" s="78" t="e">
        <f ca="1">+IF(AND(B258&lt;$G$7),VLOOKUP($B$1,Inventory!$A$1:$BC$500,35,FALSE),IF(AND(B258=$G$7,pmt_timing="End"),VLOOKUP($B$1,Inventory!$A$1:$BC$500,35,FALSE),0))</f>
        <v>#N/A</v>
      </c>
      <c r="E258" s="78">
        <v>0</v>
      </c>
      <c r="F258" s="78">
        <v>0</v>
      </c>
      <c r="G258" s="78">
        <v>0</v>
      </c>
      <c r="H258" s="78">
        <v>0</v>
      </c>
      <c r="I258" s="78">
        <v>0</v>
      </c>
      <c r="J258" s="78">
        <v>0</v>
      </c>
      <c r="K258" s="78">
        <v>0</v>
      </c>
      <c r="L258" s="36" t="e">
        <f t="shared" ca="1" si="63"/>
        <v>#N/A</v>
      </c>
      <c r="M258" s="37" t="e">
        <f t="shared" ca="1" si="61"/>
        <v>#N/A</v>
      </c>
      <c r="N258" s="37" t="e">
        <f t="shared" ca="1" si="62"/>
        <v>#N/A</v>
      </c>
      <c r="P258" s="35" t="e">
        <f t="shared" ca="1" si="69"/>
        <v>#N/A</v>
      </c>
      <c r="Q258" s="59" t="e">
        <f t="shared" ca="1" si="64"/>
        <v>#N/A</v>
      </c>
      <c r="R258" s="44" t="e">
        <f t="shared" ca="1" si="65"/>
        <v>#N/A</v>
      </c>
      <c r="S258" s="37" t="e">
        <f ca="1">IF(P258="","",IF(P258="Total",SUM($S$19:S257),VLOOKUP($P258,$B$12:$L312,11,FALSE)))</f>
        <v>#N/A</v>
      </c>
      <c r="T258" s="44" t="e">
        <f ca="1">IF(payfreq="Annually",IF(P258="","",IF(P258="Total",SUM($T$19:T257),Adj_Rate*$R258)),IF(payfreq="Semiannually",IF(P258="","",IF(P258="Total",SUM($T$19:T257),Adj_Rate/2*$R258)),IF(payfreq="Quarterly",IF(P258="","",IF(P258="Total",SUM($T$19:T257),Adj_Rate/4*$R258)),IF(payfreq="Monthly",IF(P258="","",IF(P258="Total",SUM($T$19:T257),Adj_Rate/12*$R258)),""))))</f>
        <v>#N/A</v>
      </c>
      <c r="U258" s="37" t="e">
        <f t="shared" ca="1" si="66"/>
        <v>#N/A</v>
      </c>
      <c r="V258" s="44" t="e">
        <f t="shared" ca="1" si="67"/>
        <v>#N/A</v>
      </c>
    </row>
    <row r="259" spans="2:22">
      <c r="B259" s="38">
        <v>240</v>
      </c>
      <c r="C259" s="77" t="e">
        <f t="shared" ca="1" si="68"/>
        <v>#N/A</v>
      </c>
      <c r="D259" s="78" t="e">
        <f ca="1">+IF(AND(B259&lt;$G$7),VLOOKUP($B$1,Inventory!$A$1:$BC$500,35,FALSE),IF(AND(B259=$G$7,pmt_timing="End"),VLOOKUP($B$1,Inventory!$A$1:$BC$500,35,FALSE),0))</f>
        <v>#N/A</v>
      </c>
      <c r="E259" s="78">
        <v>0</v>
      </c>
      <c r="F259" s="78">
        <v>0</v>
      </c>
      <c r="G259" s="78">
        <v>0</v>
      </c>
      <c r="H259" s="78">
        <v>0</v>
      </c>
      <c r="I259" s="78">
        <v>0</v>
      </c>
      <c r="J259" s="78">
        <v>0</v>
      </c>
      <c r="K259" s="78">
        <v>0</v>
      </c>
      <c r="L259" s="36" t="e">
        <f t="shared" ca="1" si="63"/>
        <v>#N/A</v>
      </c>
      <c r="M259" s="37" t="e">
        <f t="shared" ca="1" si="61"/>
        <v>#N/A</v>
      </c>
      <c r="N259" s="37" t="e">
        <f t="shared" ca="1" si="62"/>
        <v>#N/A</v>
      </c>
      <c r="P259" s="35" t="e">
        <f t="shared" ca="1" si="69"/>
        <v>#N/A</v>
      </c>
      <c r="Q259" s="59" t="e">
        <f t="shared" ca="1" si="64"/>
        <v>#N/A</v>
      </c>
      <c r="R259" s="44" t="e">
        <f t="shared" ca="1" si="65"/>
        <v>#N/A</v>
      </c>
      <c r="S259" s="37" t="e">
        <f ca="1">IF(P259="","",IF(P259="Total",SUM($S$19:S258),VLOOKUP($P259,$B$12:$L313,11,FALSE)))</f>
        <v>#N/A</v>
      </c>
      <c r="T259" s="44" t="e">
        <f ca="1">IF(payfreq="Annually",IF(P259="","",IF(P259="Total",SUM($T$19:T258),Adj_Rate*$R259)),IF(payfreq="Semiannually",IF(P259="","",IF(P259="Total",SUM($T$19:T258),Adj_Rate/2*$R259)),IF(payfreq="Quarterly",IF(P259="","",IF(P259="Total",SUM($T$19:T258),Adj_Rate/4*$R259)),IF(payfreq="Monthly",IF(P259="","",IF(P259="Total",SUM($T$19:T258),Adj_Rate/12*$R259)),""))))</f>
        <v>#N/A</v>
      </c>
      <c r="U259" s="37" t="e">
        <f t="shared" ca="1" si="66"/>
        <v>#N/A</v>
      </c>
      <c r="V259" s="44" t="e">
        <f t="shared" ca="1" si="67"/>
        <v>#N/A</v>
      </c>
    </row>
    <row r="260" spans="2:22">
      <c r="B260" s="38">
        <v>241</v>
      </c>
      <c r="C260" s="77" t="e">
        <f t="shared" ca="1" si="68"/>
        <v>#N/A</v>
      </c>
      <c r="D260" s="78" t="e">
        <f ca="1">+IF(AND(B260&lt;$G$7),VLOOKUP($B$1,Inventory!$A$1:$BC$500,35,FALSE),IF(AND(B260=$G$7,pmt_timing="End"),VLOOKUP($B$1,Inventory!$A$1:$BC$500,35,FALSE),0))</f>
        <v>#N/A</v>
      </c>
      <c r="E260" s="78">
        <v>0</v>
      </c>
      <c r="F260" s="78">
        <v>0</v>
      </c>
      <c r="G260" s="78">
        <v>0</v>
      </c>
      <c r="H260" s="78">
        <v>0</v>
      </c>
      <c r="I260" s="78">
        <v>0</v>
      </c>
      <c r="J260" s="78">
        <v>0</v>
      </c>
      <c r="K260" s="78">
        <v>0</v>
      </c>
      <c r="L260" s="36" t="e">
        <f t="shared" ca="1" si="63"/>
        <v>#N/A</v>
      </c>
      <c r="M260" s="37" t="e">
        <f t="shared" ca="1" si="61"/>
        <v>#N/A</v>
      </c>
      <c r="N260" s="37" t="e">
        <f t="shared" ca="1" si="62"/>
        <v>#N/A</v>
      </c>
      <c r="P260" s="35" t="e">
        <f t="shared" ca="1" si="69"/>
        <v>#N/A</v>
      </c>
      <c r="Q260" s="59" t="e">
        <f t="shared" ca="1" si="64"/>
        <v>#N/A</v>
      </c>
      <c r="R260" s="44" t="e">
        <f t="shared" ca="1" si="65"/>
        <v>#N/A</v>
      </c>
      <c r="S260" s="37" t="e">
        <f ca="1">IF(P260="","",IF(P260="Total",SUM($S$19:S259),VLOOKUP($P260,$B$12:$L314,11,FALSE)))</f>
        <v>#N/A</v>
      </c>
      <c r="T260" s="44" t="e">
        <f ca="1">IF(payfreq="Annually",IF(P260="","",IF(P260="Total",SUM($T$19:T259),Adj_Rate*$R260)),IF(payfreq="Semiannually",IF(P260="","",IF(P260="Total",SUM($T$19:T259),Adj_Rate/2*$R260)),IF(payfreq="Quarterly",IF(P260="","",IF(P260="Total",SUM($T$19:T259),Adj_Rate/4*$R260)),IF(payfreq="Monthly",IF(P260="","",IF(P260="Total",SUM($T$19:T259),Adj_Rate/12*$R260)),""))))</f>
        <v>#N/A</v>
      </c>
      <c r="U260" s="37" t="e">
        <f t="shared" ca="1" si="66"/>
        <v>#N/A</v>
      </c>
      <c r="V260" s="44" t="e">
        <f t="shared" ca="1" si="67"/>
        <v>#N/A</v>
      </c>
    </row>
    <row r="261" spans="2:22">
      <c r="B261" s="38">
        <v>242</v>
      </c>
      <c r="C261" s="77" t="e">
        <f t="shared" ca="1" si="68"/>
        <v>#N/A</v>
      </c>
      <c r="D261" s="78" t="e">
        <f ca="1">+IF(AND(B261&lt;$G$7),VLOOKUP($B$1,Inventory!$A$1:$BC$500,35,FALSE),IF(AND(B261=$G$7,pmt_timing="End"),VLOOKUP($B$1,Inventory!$A$1:$BC$500,35,FALSE),0))</f>
        <v>#N/A</v>
      </c>
      <c r="E261" s="78">
        <v>0</v>
      </c>
      <c r="F261" s="78">
        <v>0</v>
      </c>
      <c r="G261" s="78">
        <v>0</v>
      </c>
      <c r="H261" s="78">
        <v>0</v>
      </c>
      <c r="I261" s="78">
        <v>0</v>
      </c>
      <c r="J261" s="78">
        <v>0</v>
      </c>
      <c r="K261" s="78">
        <v>0</v>
      </c>
      <c r="L261" s="36" t="e">
        <f t="shared" ca="1" si="63"/>
        <v>#N/A</v>
      </c>
      <c r="M261" s="37" t="e">
        <f t="shared" ca="1" si="61"/>
        <v>#N/A</v>
      </c>
      <c r="N261" s="37" t="e">
        <f t="shared" ca="1" si="62"/>
        <v>#N/A</v>
      </c>
      <c r="P261" s="35" t="e">
        <f t="shared" ca="1" si="69"/>
        <v>#N/A</v>
      </c>
      <c r="Q261" s="59" t="e">
        <f t="shared" ca="1" si="64"/>
        <v>#N/A</v>
      </c>
      <c r="R261" s="44" t="e">
        <f t="shared" ca="1" si="65"/>
        <v>#N/A</v>
      </c>
      <c r="S261" s="37" t="e">
        <f ca="1">IF(P261="","",IF(P261="Total",SUM($S$19:S260),VLOOKUP($P261,$B$12:$L315,11,FALSE)))</f>
        <v>#N/A</v>
      </c>
      <c r="T261" s="44" t="e">
        <f ca="1">IF(payfreq="Annually",IF(P261="","",IF(P261="Total",SUM($T$19:T260),Adj_Rate*$R261)),IF(payfreq="Semiannually",IF(P261="","",IF(P261="Total",SUM($T$19:T260),Adj_Rate/2*$R261)),IF(payfreq="Quarterly",IF(P261="","",IF(P261="Total",SUM($T$19:T260),Adj_Rate/4*$R261)),IF(payfreq="Monthly",IF(P261="","",IF(P261="Total",SUM($T$19:T260),Adj_Rate/12*$R261)),""))))</f>
        <v>#N/A</v>
      </c>
      <c r="U261" s="37" t="e">
        <f t="shared" ca="1" si="66"/>
        <v>#N/A</v>
      </c>
      <c r="V261" s="44" t="e">
        <f t="shared" ca="1" si="67"/>
        <v>#N/A</v>
      </c>
    </row>
    <row r="262" spans="2:22">
      <c r="B262" s="38">
        <v>243</v>
      </c>
      <c r="C262" s="77" t="e">
        <f t="shared" ca="1" si="68"/>
        <v>#N/A</v>
      </c>
      <c r="D262" s="78" t="e">
        <f ca="1">+IF(AND(B262&lt;$G$7),VLOOKUP($B$1,Inventory!$A$1:$BC$500,35,FALSE),IF(AND(B262=$G$7,pmt_timing="End"),VLOOKUP($B$1,Inventory!$A$1:$BC$500,35,FALSE),0))</f>
        <v>#N/A</v>
      </c>
      <c r="E262" s="78">
        <v>0</v>
      </c>
      <c r="F262" s="78">
        <v>0</v>
      </c>
      <c r="G262" s="78">
        <v>0</v>
      </c>
      <c r="H262" s="78">
        <v>0</v>
      </c>
      <c r="I262" s="78">
        <v>0</v>
      </c>
      <c r="J262" s="78">
        <v>0</v>
      </c>
      <c r="K262" s="78">
        <v>0</v>
      </c>
      <c r="L262" s="36" t="e">
        <f t="shared" ca="1" si="63"/>
        <v>#N/A</v>
      </c>
      <c r="M262" s="37" t="e">
        <f t="shared" ca="1" si="61"/>
        <v>#N/A</v>
      </c>
      <c r="N262" s="37" t="e">
        <f t="shared" ca="1" si="62"/>
        <v>#N/A</v>
      </c>
      <c r="P262" s="35" t="e">
        <f t="shared" ca="1" si="69"/>
        <v>#N/A</v>
      </c>
      <c r="Q262" s="59" t="e">
        <f t="shared" ca="1" si="64"/>
        <v>#N/A</v>
      </c>
      <c r="R262" s="44" t="e">
        <f t="shared" ca="1" si="65"/>
        <v>#N/A</v>
      </c>
      <c r="S262" s="37" t="e">
        <f ca="1">IF(P262="","",IF(P262="Total",SUM($S$19:S261),VLOOKUP($P262,$B$12:$L316,11,FALSE)))</f>
        <v>#N/A</v>
      </c>
      <c r="T262" s="44" t="e">
        <f ca="1">IF(payfreq="Annually",IF(P262="","",IF(P262="Total",SUM($T$19:T261),Adj_Rate*$R262)),IF(payfreq="Semiannually",IF(P262="","",IF(P262="Total",SUM($T$19:T261),Adj_Rate/2*$R262)),IF(payfreq="Quarterly",IF(P262="","",IF(P262="Total",SUM($T$19:T261),Adj_Rate/4*$R262)),IF(payfreq="Monthly",IF(P262="","",IF(P262="Total",SUM($T$19:T261),Adj_Rate/12*$R262)),""))))</f>
        <v>#N/A</v>
      </c>
      <c r="U262" s="37" t="e">
        <f t="shared" ca="1" si="66"/>
        <v>#N/A</v>
      </c>
      <c r="V262" s="44" t="e">
        <f t="shared" ca="1" si="67"/>
        <v>#N/A</v>
      </c>
    </row>
    <row r="263" spans="2:22">
      <c r="B263" s="38">
        <v>244</v>
      </c>
      <c r="C263" s="77" t="e">
        <f t="shared" ca="1" si="68"/>
        <v>#N/A</v>
      </c>
      <c r="D263" s="78" t="e">
        <f ca="1">+IF(AND(B263&lt;$G$7),VLOOKUP($B$1,Inventory!$A$1:$BC$500,35,FALSE),IF(AND(B263=$G$7,pmt_timing="End"),VLOOKUP($B$1,Inventory!$A$1:$BC$500,35,FALSE),0))</f>
        <v>#N/A</v>
      </c>
      <c r="E263" s="78">
        <v>0</v>
      </c>
      <c r="F263" s="78">
        <v>0</v>
      </c>
      <c r="G263" s="78">
        <v>0</v>
      </c>
      <c r="H263" s="78">
        <v>0</v>
      </c>
      <c r="I263" s="78">
        <v>0</v>
      </c>
      <c r="J263" s="78">
        <v>0</v>
      </c>
      <c r="K263" s="78">
        <v>0</v>
      </c>
      <c r="L263" s="36" t="e">
        <f t="shared" ca="1" si="63"/>
        <v>#N/A</v>
      </c>
      <c r="M263" s="37" t="e">
        <f t="shared" ca="1" si="61"/>
        <v>#N/A</v>
      </c>
      <c r="N263" s="37" t="e">
        <f t="shared" ca="1" si="62"/>
        <v>#N/A</v>
      </c>
      <c r="P263" s="35" t="e">
        <f t="shared" ca="1" si="69"/>
        <v>#N/A</v>
      </c>
      <c r="Q263" s="59" t="e">
        <f t="shared" ca="1" si="64"/>
        <v>#N/A</v>
      </c>
      <c r="R263" s="44" t="e">
        <f t="shared" ca="1" si="65"/>
        <v>#N/A</v>
      </c>
      <c r="S263" s="37" t="e">
        <f ca="1">IF(P263="","",IF(P263="Total",SUM($S$19:S262),VLOOKUP($P263,$B$12:$L317,11,FALSE)))</f>
        <v>#N/A</v>
      </c>
      <c r="T263" s="44" t="e">
        <f ca="1">IF(payfreq="Annually",IF(P263="","",IF(P263="Total",SUM($T$19:T262),Adj_Rate*$R263)),IF(payfreq="Semiannually",IF(P263="","",IF(P263="Total",SUM($T$19:T262),Adj_Rate/2*$R263)),IF(payfreq="Quarterly",IF(P263="","",IF(P263="Total",SUM($T$19:T262),Adj_Rate/4*$R263)),IF(payfreq="Monthly",IF(P263="","",IF(P263="Total",SUM($T$19:T262),Adj_Rate/12*$R263)),""))))</f>
        <v>#N/A</v>
      </c>
      <c r="U263" s="37" t="e">
        <f t="shared" ca="1" si="66"/>
        <v>#N/A</v>
      </c>
      <c r="V263" s="44" t="e">
        <f t="shared" ca="1" si="67"/>
        <v>#N/A</v>
      </c>
    </row>
    <row r="264" spans="2:22">
      <c r="B264" s="38">
        <v>245</v>
      </c>
      <c r="C264" s="77" t="e">
        <f t="shared" ca="1" si="68"/>
        <v>#N/A</v>
      </c>
      <c r="D264" s="78" t="e">
        <f ca="1">+IF(AND(B264&lt;$G$7),VLOOKUP($B$1,Inventory!$A$1:$BC$500,35,FALSE),IF(AND(B264=$G$7,pmt_timing="End"),VLOOKUP($B$1,Inventory!$A$1:$BC$500,35,FALSE),0))</f>
        <v>#N/A</v>
      </c>
      <c r="E264" s="78">
        <v>0</v>
      </c>
      <c r="F264" s="78">
        <v>0</v>
      </c>
      <c r="G264" s="78">
        <v>0</v>
      </c>
      <c r="H264" s="78">
        <v>0</v>
      </c>
      <c r="I264" s="78">
        <v>0</v>
      </c>
      <c r="J264" s="78">
        <v>0</v>
      </c>
      <c r="K264" s="78">
        <v>0</v>
      </c>
      <c r="L264" s="36" t="e">
        <f t="shared" ca="1" si="63"/>
        <v>#N/A</v>
      </c>
      <c r="M264" s="37" t="e">
        <f t="shared" ca="1" si="61"/>
        <v>#N/A</v>
      </c>
      <c r="N264" s="37" t="e">
        <f t="shared" ca="1" si="62"/>
        <v>#N/A</v>
      </c>
      <c r="P264" s="35" t="e">
        <f t="shared" ca="1" si="69"/>
        <v>#N/A</v>
      </c>
      <c r="Q264" s="59" t="e">
        <f t="shared" ca="1" si="64"/>
        <v>#N/A</v>
      </c>
      <c r="R264" s="44" t="e">
        <f t="shared" ca="1" si="65"/>
        <v>#N/A</v>
      </c>
      <c r="S264" s="37" t="e">
        <f ca="1">IF(P264="","",IF(P264="Total",SUM($S$19:S263),VLOOKUP($P264,$B$12:$L318,11,FALSE)))</f>
        <v>#N/A</v>
      </c>
      <c r="T264" s="44" t="e">
        <f ca="1">IF(payfreq="Annually",IF(P264="","",IF(P264="Total",SUM($T$19:T263),Adj_Rate*$R264)),IF(payfreq="Semiannually",IF(P264="","",IF(P264="Total",SUM($T$19:T263),Adj_Rate/2*$R264)),IF(payfreq="Quarterly",IF(P264="","",IF(P264="Total",SUM($T$19:T263),Adj_Rate/4*$R264)),IF(payfreq="Monthly",IF(P264="","",IF(P264="Total",SUM($T$19:T263),Adj_Rate/12*$R264)),""))))</f>
        <v>#N/A</v>
      </c>
      <c r="U264" s="37" t="e">
        <f t="shared" ca="1" si="66"/>
        <v>#N/A</v>
      </c>
      <c r="V264" s="44" t="e">
        <f t="shared" ca="1" si="67"/>
        <v>#N/A</v>
      </c>
    </row>
    <row r="265" spans="2:22">
      <c r="B265" s="38">
        <v>246</v>
      </c>
      <c r="C265" s="77" t="e">
        <f t="shared" ca="1" si="68"/>
        <v>#N/A</v>
      </c>
      <c r="D265" s="78" t="e">
        <f ca="1">+IF(AND(B265&lt;$G$7),VLOOKUP($B$1,Inventory!$A$1:$BC$500,35,FALSE),IF(AND(B265=$G$7,pmt_timing="End"),VLOOKUP($B$1,Inventory!$A$1:$BC$500,35,FALSE),0))</f>
        <v>#N/A</v>
      </c>
      <c r="E265" s="78">
        <v>0</v>
      </c>
      <c r="F265" s="78">
        <v>0</v>
      </c>
      <c r="G265" s="78">
        <v>0</v>
      </c>
      <c r="H265" s="78">
        <v>0</v>
      </c>
      <c r="I265" s="78">
        <v>0</v>
      </c>
      <c r="J265" s="78">
        <v>0</v>
      </c>
      <c r="K265" s="78">
        <v>0</v>
      </c>
      <c r="L265" s="36" t="e">
        <f t="shared" ca="1" si="63"/>
        <v>#N/A</v>
      </c>
      <c r="M265" s="37" t="e">
        <f t="shared" ca="1" si="61"/>
        <v>#N/A</v>
      </c>
      <c r="N265" s="37" t="e">
        <f t="shared" ca="1" si="62"/>
        <v>#N/A</v>
      </c>
      <c r="P265" s="35" t="e">
        <f t="shared" ca="1" si="69"/>
        <v>#N/A</v>
      </c>
      <c r="Q265" s="59" t="e">
        <f t="shared" ca="1" si="64"/>
        <v>#N/A</v>
      </c>
      <c r="R265" s="44" t="e">
        <f t="shared" ca="1" si="65"/>
        <v>#N/A</v>
      </c>
      <c r="S265" s="37" t="e">
        <f ca="1">IF(P265="","",IF(P265="Total",SUM($S$19:S264),VLOOKUP($P265,$B$12:$L319,11,FALSE)))</f>
        <v>#N/A</v>
      </c>
      <c r="T265" s="44" t="e">
        <f ca="1">IF(payfreq="Annually",IF(P265="","",IF(P265="Total",SUM($T$19:T264),Adj_Rate*$R265)),IF(payfreq="Semiannually",IF(P265="","",IF(P265="Total",SUM($T$19:T264),Adj_Rate/2*$R265)),IF(payfreq="Quarterly",IF(P265="","",IF(P265="Total",SUM($T$19:T264),Adj_Rate/4*$R265)),IF(payfreq="Monthly",IF(P265="","",IF(P265="Total",SUM($T$19:T264),Adj_Rate/12*$R265)),""))))</f>
        <v>#N/A</v>
      </c>
      <c r="U265" s="37" t="e">
        <f t="shared" ca="1" si="66"/>
        <v>#N/A</v>
      </c>
      <c r="V265" s="44" t="e">
        <f t="shared" ca="1" si="67"/>
        <v>#N/A</v>
      </c>
    </row>
    <row r="266" spans="2:22">
      <c r="B266" s="38">
        <v>247</v>
      </c>
      <c r="C266" s="77" t="e">
        <f t="shared" ca="1" si="68"/>
        <v>#N/A</v>
      </c>
      <c r="D266" s="78" t="e">
        <f ca="1">+IF(AND(B266&lt;$G$7),VLOOKUP($B$1,Inventory!$A$1:$BC$500,35,FALSE),IF(AND(B266=$G$7,pmt_timing="End"),VLOOKUP($B$1,Inventory!$A$1:$BC$500,35,FALSE),0))</f>
        <v>#N/A</v>
      </c>
      <c r="E266" s="78">
        <v>0</v>
      </c>
      <c r="F266" s="78">
        <v>0</v>
      </c>
      <c r="G266" s="78">
        <v>0</v>
      </c>
      <c r="H266" s="78">
        <v>0</v>
      </c>
      <c r="I266" s="78">
        <v>0</v>
      </c>
      <c r="J266" s="78">
        <v>0</v>
      </c>
      <c r="K266" s="78">
        <v>0</v>
      </c>
      <c r="L266" s="36" t="e">
        <f t="shared" ca="1" si="63"/>
        <v>#N/A</v>
      </c>
      <c r="M266" s="37" t="e">
        <f t="shared" ca="1" si="61"/>
        <v>#N/A</v>
      </c>
      <c r="N266" s="37" t="e">
        <f t="shared" ca="1" si="62"/>
        <v>#N/A</v>
      </c>
      <c r="P266" s="35" t="e">
        <f t="shared" ca="1" si="69"/>
        <v>#N/A</v>
      </c>
      <c r="Q266" s="59" t="e">
        <f t="shared" ca="1" si="64"/>
        <v>#N/A</v>
      </c>
      <c r="R266" s="44" t="e">
        <f t="shared" ca="1" si="65"/>
        <v>#N/A</v>
      </c>
      <c r="S266" s="37" t="e">
        <f ca="1">IF(P266="","",IF(P266="Total",SUM($S$19:S265),VLOOKUP($P266,$B$12:$L320,11,FALSE)))</f>
        <v>#N/A</v>
      </c>
      <c r="T266" s="44" t="e">
        <f ca="1">IF(payfreq="Annually",IF(P266="","",IF(P266="Total",SUM($T$19:T265),Adj_Rate*$R266)),IF(payfreq="Semiannually",IF(P266="","",IF(P266="Total",SUM($T$19:T265),Adj_Rate/2*$R266)),IF(payfreq="Quarterly",IF(P266="","",IF(P266="Total",SUM($T$19:T265),Adj_Rate/4*$R266)),IF(payfreq="Monthly",IF(P266="","",IF(P266="Total",SUM($T$19:T265),Adj_Rate/12*$R266)),""))))</f>
        <v>#N/A</v>
      </c>
      <c r="U266" s="37" t="e">
        <f t="shared" ca="1" si="66"/>
        <v>#N/A</v>
      </c>
      <c r="V266" s="44" t="e">
        <f t="shared" ca="1" si="67"/>
        <v>#N/A</v>
      </c>
    </row>
    <row r="267" spans="2:22">
      <c r="B267" s="38">
        <v>248</v>
      </c>
      <c r="C267" s="77" t="e">
        <f t="shared" ca="1" si="68"/>
        <v>#N/A</v>
      </c>
      <c r="D267" s="78" t="e">
        <f ca="1">+IF(AND(B267&lt;$G$7),VLOOKUP($B$1,Inventory!$A$1:$BC$500,35,FALSE),IF(AND(B267=$G$7,pmt_timing="End"),VLOOKUP($B$1,Inventory!$A$1:$BC$500,35,FALSE),0))</f>
        <v>#N/A</v>
      </c>
      <c r="E267" s="78">
        <v>0</v>
      </c>
      <c r="F267" s="78">
        <v>0</v>
      </c>
      <c r="G267" s="78">
        <v>0</v>
      </c>
      <c r="H267" s="78">
        <v>0</v>
      </c>
      <c r="I267" s="78">
        <v>0</v>
      </c>
      <c r="J267" s="78">
        <v>0</v>
      </c>
      <c r="K267" s="78">
        <v>0</v>
      </c>
      <c r="L267" s="36" t="e">
        <f t="shared" ca="1" si="63"/>
        <v>#N/A</v>
      </c>
      <c r="M267" s="37" t="e">
        <f t="shared" ca="1" si="61"/>
        <v>#N/A</v>
      </c>
      <c r="N267" s="37" t="e">
        <f t="shared" ca="1" si="62"/>
        <v>#N/A</v>
      </c>
      <c r="P267" s="35" t="e">
        <f t="shared" ca="1" si="69"/>
        <v>#N/A</v>
      </c>
      <c r="Q267" s="59" t="e">
        <f t="shared" ca="1" si="64"/>
        <v>#N/A</v>
      </c>
      <c r="R267" s="44" t="e">
        <f t="shared" ca="1" si="65"/>
        <v>#N/A</v>
      </c>
      <c r="S267" s="37" t="e">
        <f ca="1">IF(P267="","",IF(P267="Total",SUM($S$19:S266),VLOOKUP($P267,$B$12:$L321,11,FALSE)))</f>
        <v>#N/A</v>
      </c>
      <c r="T267" s="44" t="e">
        <f ca="1">IF(payfreq="Annually",IF(P267="","",IF(P267="Total",SUM($T$19:T266),Adj_Rate*$R267)),IF(payfreq="Semiannually",IF(P267="","",IF(P267="Total",SUM($T$19:T266),Adj_Rate/2*$R267)),IF(payfreq="Quarterly",IF(P267="","",IF(P267="Total",SUM($T$19:T266),Adj_Rate/4*$R267)),IF(payfreq="Monthly",IF(P267="","",IF(P267="Total",SUM($T$19:T266),Adj_Rate/12*$R267)),""))))</f>
        <v>#N/A</v>
      </c>
      <c r="U267" s="37" t="e">
        <f t="shared" ca="1" si="66"/>
        <v>#N/A</v>
      </c>
      <c r="V267" s="44" t="e">
        <f t="shared" ca="1" si="67"/>
        <v>#N/A</v>
      </c>
    </row>
    <row r="268" spans="2:22">
      <c r="B268" s="38">
        <v>249</v>
      </c>
      <c r="C268" s="77" t="e">
        <f t="shared" ca="1" si="68"/>
        <v>#N/A</v>
      </c>
      <c r="D268" s="78" t="e">
        <f ca="1">+IF(AND(B268&lt;$G$7),VLOOKUP($B$1,Inventory!$A$1:$BC$500,35,FALSE),IF(AND(B268=$G$7,pmt_timing="End"),VLOOKUP($B$1,Inventory!$A$1:$BC$500,35,FALSE),0))</f>
        <v>#N/A</v>
      </c>
      <c r="E268" s="78">
        <v>0</v>
      </c>
      <c r="F268" s="78">
        <v>0</v>
      </c>
      <c r="G268" s="78">
        <v>0</v>
      </c>
      <c r="H268" s="78">
        <v>0</v>
      </c>
      <c r="I268" s="78">
        <v>0</v>
      </c>
      <c r="J268" s="78">
        <v>0</v>
      </c>
      <c r="K268" s="78">
        <v>0</v>
      </c>
      <c r="L268" s="36" t="e">
        <f t="shared" ca="1" si="63"/>
        <v>#N/A</v>
      </c>
      <c r="M268" s="37" t="e">
        <f t="shared" ca="1" si="61"/>
        <v>#N/A</v>
      </c>
      <c r="N268" s="37" t="e">
        <f t="shared" ca="1" si="62"/>
        <v>#N/A</v>
      </c>
      <c r="P268" s="35" t="e">
        <f t="shared" ca="1" si="69"/>
        <v>#N/A</v>
      </c>
      <c r="Q268" s="59" t="e">
        <f t="shared" ca="1" si="64"/>
        <v>#N/A</v>
      </c>
      <c r="R268" s="44" t="e">
        <f t="shared" ca="1" si="65"/>
        <v>#N/A</v>
      </c>
      <c r="S268" s="37" t="e">
        <f ca="1">IF(P268="","",IF(P268="Total",SUM($S$19:S267),VLOOKUP($P268,$B$12:$L322,11,FALSE)))</f>
        <v>#N/A</v>
      </c>
      <c r="T268" s="44" t="e">
        <f ca="1">IF(payfreq="Annually",IF(P268="","",IF(P268="Total",SUM($T$19:T267),Adj_Rate*$R268)),IF(payfreq="Semiannually",IF(P268="","",IF(P268="Total",SUM($T$19:T267),Adj_Rate/2*$R268)),IF(payfreq="Quarterly",IF(P268="","",IF(P268="Total",SUM($T$19:T267),Adj_Rate/4*$R268)),IF(payfreq="Monthly",IF(P268="","",IF(P268="Total",SUM($T$19:T267),Adj_Rate/12*$R268)),""))))</f>
        <v>#N/A</v>
      </c>
      <c r="U268" s="37" t="e">
        <f t="shared" ca="1" si="66"/>
        <v>#N/A</v>
      </c>
      <c r="V268" s="44" t="e">
        <f t="shared" ca="1" si="67"/>
        <v>#N/A</v>
      </c>
    </row>
    <row r="269" spans="2:22">
      <c r="B269" s="38">
        <v>250</v>
      </c>
      <c r="C269" s="77" t="e">
        <f t="shared" ca="1" si="68"/>
        <v>#N/A</v>
      </c>
      <c r="D269" s="78" t="e">
        <f ca="1">+IF(AND(B269&lt;$G$7),VLOOKUP($B$1,Inventory!$A$1:$BC$500,35,FALSE),IF(AND(B269=$G$7,pmt_timing="End"),VLOOKUP($B$1,Inventory!$A$1:$BC$500,35,FALSE),0))</f>
        <v>#N/A</v>
      </c>
      <c r="E269" s="78">
        <v>0</v>
      </c>
      <c r="F269" s="78">
        <v>0</v>
      </c>
      <c r="G269" s="78">
        <v>0</v>
      </c>
      <c r="H269" s="78">
        <v>0</v>
      </c>
      <c r="I269" s="78">
        <v>0</v>
      </c>
      <c r="J269" s="78">
        <v>0</v>
      </c>
      <c r="K269" s="78">
        <v>0</v>
      </c>
      <c r="L269" s="36" t="e">
        <f t="shared" ca="1" si="63"/>
        <v>#N/A</v>
      </c>
      <c r="M269" s="37" t="e">
        <f t="shared" ca="1" si="61"/>
        <v>#N/A</v>
      </c>
      <c r="N269" s="37" t="e">
        <f t="shared" ca="1" si="62"/>
        <v>#N/A</v>
      </c>
      <c r="P269" s="35" t="e">
        <f t="shared" ca="1" si="69"/>
        <v>#N/A</v>
      </c>
      <c r="Q269" s="59" t="e">
        <f t="shared" ca="1" si="64"/>
        <v>#N/A</v>
      </c>
      <c r="R269" s="44" t="e">
        <f t="shared" ca="1" si="65"/>
        <v>#N/A</v>
      </c>
      <c r="S269" s="37" t="e">
        <f ca="1">IF(P269="","",IF(P269="Total",SUM($S$19:S268),VLOOKUP($P269,$B$12:$L323,11,FALSE)))</f>
        <v>#N/A</v>
      </c>
      <c r="T269" s="44" t="e">
        <f ca="1">IF(payfreq="Annually",IF(P269="","",IF(P269="Total",SUM($T$19:T268),Adj_Rate*$R269)),IF(payfreq="Semiannually",IF(P269="","",IF(P269="Total",SUM($T$19:T268),Adj_Rate/2*$R269)),IF(payfreq="Quarterly",IF(P269="","",IF(P269="Total",SUM($T$19:T268),Adj_Rate/4*$R269)),IF(payfreq="Monthly",IF(P269="","",IF(P269="Total",SUM($T$19:T268),Adj_Rate/12*$R269)),""))))</f>
        <v>#N/A</v>
      </c>
      <c r="U269" s="37" t="e">
        <f t="shared" ca="1" si="66"/>
        <v>#N/A</v>
      </c>
      <c r="V269" s="44" t="e">
        <f t="shared" ca="1" si="67"/>
        <v>#N/A</v>
      </c>
    </row>
    <row r="270" spans="2:22">
      <c r="B270" s="38">
        <v>251</v>
      </c>
      <c r="C270" s="77" t="e">
        <f t="shared" ca="1" si="68"/>
        <v>#N/A</v>
      </c>
      <c r="D270" s="78" t="e">
        <f ca="1">+IF(AND(B270&lt;$G$7),VLOOKUP($B$1,Inventory!$A$1:$BC$500,35,FALSE),IF(AND(B270=$G$7,pmt_timing="End"),VLOOKUP($B$1,Inventory!$A$1:$BC$500,35,FALSE),0))</f>
        <v>#N/A</v>
      </c>
      <c r="E270" s="78">
        <v>0</v>
      </c>
      <c r="F270" s="78">
        <v>0</v>
      </c>
      <c r="G270" s="78">
        <v>0</v>
      </c>
      <c r="H270" s="78">
        <v>0</v>
      </c>
      <c r="I270" s="78">
        <v>0</v>
      </c>
      <c r="J270" s="78">
        <v>0</v>
      </c>
      <c r="K270" s="78">
        <v>0</v>
      </c>
      <c r="L270" s="36" t="e">
        <f t="shared" ca="1" si="63"/>
        <v>#N/A</v>
      </c>
      <c r="M270" s="37" t="e">
        <f t="shared" ca="1" si="61"/>
        <v>#N/A</v>
      </c>
      <c r="N270" s="37" t="e">
        <f t="shared" ca="1" si="62"/>
        <v>#N/A</v>
      </c>
      <c r="P270" s="35" t="e">
        <f t="shared" ca="1" si="69"/>
        <v>#N/A</v>
      </c>
      <c r="Q270" s="59" t="e">
        <f t="shared" ca="1" si="64"/>
        <v>#N/A</v>
      </c>
      <c r="R270" s="44" t="e">
        <f t="shared" ca="1" si="65"/>
        <v>#N/A</v>
      </c>
      <c r="S270" s="37" t="e">
        <f ca="1">IF(P270="","",IF(P270="Total",SUM($S$19:S269),VLOOKUP($P270,$B$12:$L324,11,FALSE)))</f>
        <v>#N/A</v>
      </c>
      <c r="T270" s="44" t="e">
        <f ca="1">IF(payfreq="Annually",IF(P270="","",IF(P270="Total",SUM($T$19:T269),Adj_Rate*$R270)),IF(payfreq="Semiannually",IF(P270="","",IF(P270="Total",SUM($T$19:T269),Adj_Rate/2*$R270)),IF(payfreq="Quarterly",IF(P270="","",IF(P270="Total",SUM($T$19:T269),Adj_Rate/4*$R270)),IF(payfreq="Monthly",IF(P270="","",IF(P270="Total",SUM($T$19:T269),Adj_Rate/12*$R270)),""))))</f>
        <v>#N/A</v>
      </c>
      <c r="U270" s="37" t="e">
        <f t="shared" ca="1" si="66"/>
        <v>#N/A</v>
      </c>
      <c r="V270" s="44" t="e">
        <f t="shared" ca="1" si="67"/>
        <v>#N/A</v>
      </c>
    </row>
    <row r="271" spans="2:22">
      <c r="B271" s="38">
        <v>252</v>
      </c>
      <c r="C271" s="77" t="e">
        <f t="shared" ca="1" si="68"/>
        <v>#N/A</v>
      </c>
      <c r="D271" s="78" t="e">
        <f ca="1">+IF(AND(B271&lt;$G$7),VLOOKUP($B$1,Inventory!$A$1:$BC$500,35,FALSE),IF(AND(B271=$G$7,pmt_timing="End"),VLOOKUP($B$1,Inventory!$A$1:$BC$500,35,FALSE),0))</f>
        <v>#N/A</v>
      </c>
      <c r="E271" s="78">
        <v>0</v>
      </c>
      <c r="F271" s="78">
        <v>0</v>
      </c>
      <c r="G271" s="78">
        <v>0</v>
      </c>
      <c r="H271" s="78">
        <v>0</v>
      </c>
      <c r="I271" s="78">
        <v>0</v>
      </c>
      <c r="J271" s="78">
        <v>0</v>
      </c>
      <c r="K271" s="78">
        <v>0</v>
      </c>
      <c r="L271" s="36" t="e">
        <f t="shared" ca="1" si="63"/>
        <v>#N/A</v>
      </c>
      <c r="M271" s="37" t="e">
        <f t="shared" ca="1" si="61"/>
        <v>#N/A</v>
      </c>
      <c r="N271" s="37" t="e">
        <f t="shared" ca="1" si="62"/>
        <v>#N/A</v>
      </c>
      <c r="P271" s="35" t="e">
        <f t="shared" ca="1" si="69"/>
        <v>#N/A</v>
      </c>
      <c r="Q271" s="59" t="e">
        <f t="shared" ca="1" si="64"/>
        <v>#N/A</v>
      </c>
      <c r="R271" s="44" t="e">
        <f t="shared" ca="1" si="65"/>
        <v>#N/A</v>
      </c>
      <c r="S271" s="37" t="e">
        <f ca="1">IF(P271="","",IF(P271="Total",SUM($S$19:S270),VLOOKUP($P271,$B$12:$L325,11,FALSE)))</f>
        <v>#N/A</v>
      </c>
      <c r="T271" s="44" t="e">
        <f ca="1">IF(payfreq="Annually",IF(P271="","",IF(P271="Total",SUM($T$19:T270),Adj_Rate*$R271)),IF(payfreq="Semiannually",IF(P271="","",IF(P271="Total",SUM($T$19:T270),Adj_Rate/2*$R271)),IF(payfreq="Quarterly",IF(P271="","",IF(P271="Total",SUM($T$19:T270),Adj_Rate/4*$R271)),IF(payfreq="Monthly",IF(P271="","",IF(P271="Total",SUM($T$19:T270),Adj_Rate/12*$R271)),""))))</f>
        <v>#N/A</v>
      </c>
      <c r="U271" s="37" t="e">
        <f t="shared" ca="1" si="66"/>
        <v>#N/A</v>
      </c>
      <c r="V271" s="44" t="e">
        <f t="shared" ca="1" si="67"/>
        <v>#N/A</v>
      </c>
    </row>
    <row r="272" spans="2:22">
      <c r="B272" s="38">
        <v>253</v>
      </c>
      <c r="C272" s="77" t="e">
        <f t="shared" ca="1" si="68"/>
        <v>#N/A</v>
      </c>
      <c r="D272" s="78" t="e">
        <f ca="1">+IF(AND(B272&lt;$G$7),VLOOKUP($B$1,Inventory!$A$1:$BC$500,35,FALSE),IF(AND(B272=$G$7,pmt_timing="End"),VLOOKUP($B$1,Inventory!$A$1:$BC$500,35,FALSE),0))</f>
        <v>#N/A</v>
      </c>
      <c r="E272" s="78">
        <v>0</v>
      </c>
      <c r="F272" s="78">
        <v>0</v>
      </c>
      <c r="G272" s="78">
        <v>0</v>
      </c>
      <c r="H272" s="78">
        <v>0</v>
      </c>
      <c r="I272" s="78">
        <v>0</v>
      </c>
      <c r="J272" s="78">
        <v>0</v>
      </c>
      <c r="K272" s="78">
        <v>0</v>
      </c>
      <c r="L272" s="36" t="e">
        <f t="shared" ca="1" si="63"/>
        <v>#N/A</v>
      </c>
      <c r="M272" s="37" t="e">
        <f t="shared" ca="1" si="61"/>
        <v>#N/A</v>
      </c>
      <c r="N272" s="37" t="e">
        <f t="shared" ca="1" si="62"/>
        <v>#N/A</v>
      </c>
      <c r="P272" s="35" t="e">
        <f t="shared" ca="1" si="69"/>
        <v>#N/A</v>
      </c>
      <c r="Q272" s="59" t="e">
        <f t="shared" ca="1" si="64"/>
        <v>#N/A</v>
      </c>
      <c r="R272" s="44" t="e">
        <f t="shared" ca="1" si="65"/>
        <v>#N/A</v>
      </c>
      <c r="S272" s="37" t="e">
        <f ca="1">IF(P272="","",IF(P272="Total",SUM($S$19:S271),VLOOKUP($P272,$B$12:$L326,11,FALSE)))</f>
        <v>#N/A</v>
      </c>
      <c r="T272" s="44" t="e">
        <f ca="1">IF(payfreq="Annually",IF(P272="","",IF(P272="Total",SUM($T$19:T271),Adj_Rate*$R272)),IF(payfreq="Semiannually",IF(P272="","",IF(P272="Total",SUM($T$19:T271),Adj_Rate/2*$R272)),IF(payfreq="Quarterly",IF(P272="","",IF(P272="Total",SUM($T$19:T271),Adj_Rate/4*$R272)),IF(payfreq="Monthly",IF(P272="","",IF(P272="Total",SUM($T$19:T271),Adj_Rate/12*$R272)),""))))</f>
        <v>#N/A</v>
      </c>
      <c r="U272" s="37" t="e">
        <f t="shared" ca="1" si="66"/>
        <v>#N/A</v>
      </c>
      <c r="V272" s="44" t="e">
        <f t="shared" ca="1" si="67"/>
        <v>#N/A</v>
      </c>
    </row>
    <row r="273" spans="2:22">
      <c r="B273" s="38">
        <v>254</v>
      </c>
      <c r="C273" s="77" t="e">
        <f t="shared" ca="1" si="68"/>
        <v>#N/A</v>
      </c>
      <c r="D273" s="78" t="e">
        <f ca="1">+IF(AND(B273&lt;$G$7),VLOOKUP($B$1,Inventory!$A$1:$BC$500,35,FALSE),IF(AND(B273=$G$7,pmt_timing="End"),VLOOKUP($B$1,Inventory!$A$1:$BC$500,35,FALSE),0))</f>
        <v>#N/A</v>
      </c>
      <c r="E273" s="78">
        <v>0</v>
      </c>
      <c r="F273" s="78">
        <v>0</v>
      </c>
      <c r="G273" s="78">
        <v>0</v>
      </c>
      <c r="H273" s="78">
        <v>0</v>
      </c>
      <c r="I273" s="78">
        <v>0</v>
      </c>
      <c r="J273" s="78">
        <v>0</v>
      </c>
      <c r="K273" s="78">
        <v>0</v>
      </c>
      <c r="L273" s="36" t="e">
        <f t="shared" ca="1" si="63"/>
        <v>#N/A</v>
      </c>
      <c r="M273" s="37" t="e">
        <f t="shared" ca="1" si="61"/>
        <v>#N/A</v>
      </c>
      <c r="N273" s="37" t="e">
        <f t="shared" ca="1" si="62"/>
        <v>#N/A</v>
      </c>
      <c r="P273" s="35" t="e">
        <f t="shared" ca="1" si="69"/>
        <v>#N/A</v>
      </c>
      <c r="Q273" s="59" t="e">
        <f t="shared" ca="1" si="64"/>
        <v>#N/A</v>
      </c>
      <c r="R273" s="44" t="e">
        <f t="shared" ca="1" si="65"/>
        <v>#N/A</v>
      </c>
      <c r="S273" s="37" t="e">
        <f ca="1">IF(P273="","",IF(P273="Total",SUM($S$19:S272),VLOOKUP($P273,$B$12:$L327,11,FALSE)))</f>
        <v>#N/A</v>
      </c>
      <c r="T273" s="44" t="e">
        <f ca="1">IF(payfreq="Annually",IF(P273="","",IF(P273="Total",SUM($T$19:T272),Adj_Rate*$R273)),IF(payfreq="Semiannually",IF(P273="","",IF(P273="Total",SUM($T$19:T272),Adj_Rate/2*$R273)),IF(payfreq="Quarterly",IF(P273="","",IF(P273="Total",SUM($T$19:T272),Adj_Rate/4*$R273)),IF(payfreq="Monthly",IF(P273="","",IF(P273="Total",SUM($T$19:T272),Adj_Rate/12*$R273)),""))))</f>
        <v>#N/A</v>
      </c>
      <c r="U273" s="37" t="e">
        <f t="shared" ca="1" si="66"/>
        <v>#N/A</v>
      </c>
      <c r="V273" s="44" t="e">
        <f t="shared" ca="1" si="67"/>
        <v>#N/A</v>
      </c>
    </row>
    <row r="274" spans="2:22">
      <c r="B274" s="38">
        <v>255</v>
      </c>
      <c r="C274" s="77" t="e">
        <f t="shared" ca="1" si="68"/>
        <v>#N/A</v>
      </c>
      <c r="D274" s="78" t="e">
        <f ca="1">+IF(AND(B274&lt;$G$7),VLOOKUP($B$1,Inventory!$A$1:$BC$500,35,FALSE),IF(AND(B274=$G$7,pmt_timing="End"),VLOOKUP($B$1,Inventory!$A$1:$BC$500,35,FALSE),0))</f>
        <v>#N/A</v>
      </c>
      <c r="E274" s="78">
        <v>0</v>
      </c>
      <c r="F274" s="78">
        <v>0</v>
      </c>
      <c r="G274" s="78">
        <v>0</v>
      </c>
      <c r="H274" s="78">
        <v>0</v>
      </c>
      <c r="I274" s="78">
        <v>0</v>
      </c>
      <c r="J274" s="78">
        <v>0</v>
      </c>
      <c r="K274" s="78">
        <v>0</v>
      </c>
      <c r="L274" s="36" t="e">
        <f t="shared" ca="1" si="63"/>
        <v>#N/A</v>
      </c>
      <c r="M274" s="37" t="e">
        <f t="shared" ca="1" si="61"/>
        <v>#N/A</v>
      </c>
      <c r="N274" s="37" t="e">
        <f t="shared" ca="1" si="62"/>
        <v>#N/A</v>
      </c>
      <c r="P274" s="35" t="e">
        <f t="shared" ca="1" si="69"/>
        <v>#N/A</v>
      </c>
      <c r="Q274" s="59" t="e">
        <f t="shared" ca="1" si="64"/>
        <v>#N/A</v>
      </c>
      <c r="R274" s="44" t="e">
        <f t="shared" ca="1" si="65"/>
        <v>#N/A</v>
      </c>
      <c r="S274" s="37" t="e">
        <f ca="1">IF(P274="","",IF(P274="Total",SUM($S$19:S273),VLOOKUP($P274,$B$12:$L328,11,FALSE)))</f>
        <v>#N/A</v>
      </c>
      <c r="T274" s="44" t="e">
        <f ca="1">IF(payfreq="Annually",IF(P274="","",IF(P274="Total",SUM($T$19:T273),Adj_Rate*$R274)),IF(payfreq="Semiannually",IF(P274="","",IF(P274="Total",SUM($T$19:T273),Adj_Rate/2*$R274)),IF(payfreq="Quarterly",IF(P274="","",IF(P274="Total",SUM($T$19:T273),Adj_Rate/4*$R274)),IF(payfreq="Monthly",IF(P274="","",IF(P274="Total",SUM($T$19:T273),Adj_Rate/12*$R274)),""))))</f>
        <v>#N/A</v>
      </c>
      <c r="U274" s="37" t="e">
        <f t="shared" ca="1" si="66"/>
        <v>#N/A</v>
      </c>
      <c r="V274" s="44" t="e">
        <f t="shared" ca="1" si="67"/>
        <v>#N/A</v>
      </c>
    </row>
    <row r="275" spans="2:22">
      <c r="B275" s="38">
        <v>256</v>
      </c>
      <c r="C275" s="77" t="e">
        <f t="shared" ca="1" si="68"/>
        <v>#N/A</v>
      </c>
      <c r="D275" s="78" t="e">
        <f ca="1">+IF(AND(B275&lt;$G$7),VLOOKUP($B$1,Inventory!$A$1:$BC$500,35,FALSE),IF(AND(B275=$G$7,pmt_timing="End"),VLOOKUP($B$1,Inventory!$A$1:$BC$500,35,FALSE),0))</f>
        <v>#N/A</v>
      </c>
      <c r="E275" s="78">
        <v>0</v>
      </c>
      <c r="F275" s="78">
        <v>0</v>
      </c>
      <c r="G275" s="78">
        <v>0</v>
      </c>
      <c r="H275" s="78">
        <v>0</v>
      </c>
      <c r="I275" s="78">
        <v>0</v>
      </c>
      <c r="J275" s="78">
        <v>0</v>
      </c>
      <c r="K275" s="78">
        <v>0</v>
      </c>
      <c r="L275" s="36" t="e">
        <f t="shared" ca="1" si="63"/>
        <v>#N/A</v>
      </c>
      <c r="M275" s="37" t="e">
        <f t="shared" ref="M275:M337" ca="1" si="70">IF(AND(payfreq="Annually",pmt_timing="End",$B275&lt;=term),$L275/(1+Adj_Rate)^($B275),IF(AND(payfreq="Semiannually",pmt_timing="End",$B275&lt;=term),$L275/(1+Adj_Rate/2)^($B275),IF(AND(payfreq="Quarterly",pmt_timing="End",$B275&lt;=term),$L275/(1+Adj_Rate/4)^($B275),IF(AND(payfreq="Monthly",pmt_timing="End",$B275&lt;=term),$L275/(1+Adj_Rate/12)^($B275),""))))</f>
        <v>#N/A</v>
      </c>
      <c r="N275" s="37" t="e">
        <f t="shared" ref="N275:N338" ca="1" si="71">IF(AND(payfreq="Annually",pmt_timing="Beginning",$B275&lt;=term),$L275/(1+Adj_Rate)^($B275),IF(AND(payfreq="Semiannually",pmt_timing="Beginning",$B275&lt;=term),$L275/(1+Adj_Rate/2)^($B275),IF(AND(payfreq="Quarterly",pmt_timing="Beginning",$B275&lt;=term),$L275/(1+Adj_Rate/4)^($B275),IF(AND(payfreq="Monthly",pmt_timing="Beginning",$B275&lt;=term),$L275/(1+Adj_Rate/12)^($B275),""))))</f>
        <v>#N/A</v>
      </c>
      <c r="P275" s="35" t="e">
        <f t="shared" ca="1" si="69"/>
        <v>#N/A</v>
      </c>
      <c r="Q275" s="59" t="e">
        <f t="shared" ca="1" si="64"/>
        <v>#N/A</v>
      </c>
      <c r="R275" s="44" t="e">
        <f t="shared" ca="1" si="65"/>
        <v>#N/A</v>
      </c>
      <c r="S275" s="37" t="e">
        <f ca="1">IF(P275="","",IF(P275="Total",SUM($S$19:S274),VLOOKUP($P275,$B$12:$L329,11,FALSE)))</f>
        <v>#N/A</v>
      </c>
      <c r="T275" s="44" t="e">
        <f ca="1">IF(payfreq="Annually",IF(P275="","",IF(P275="Total",SUM($T$19:T274),Adj_Rate*$R275)),IF(payfreq="Semiannually",IF(P275="","",IF(P275="Total",SUM($T$19:T274),Adj_Rate/2*$R275)),IF(payfreq="Quarterly",IF(P275="","",IF(P275="Total",SUM($T$19:T274),Adj_Rate/4*$R275)),IF(payfreq="Monthly",IF(P275="","",IF(P275="Total",SUM($T$19:T274),Adj_Rate/12*$R275)),""))))</f>
        <v>#N/A</v>
      </c>
      <c r="U275" s="37" t="e">
        <f t="shared" ca="1" si="66"/>
        <v>#N/A</v>
      </c>
      <c r="V275" s="44" t="e">
        <f t="shared" ca="1" si="67"/>
        <v>#N/A</v>
      </c>
    </row>
    <row r="276" spans="2:22">
      <c r="B276" s="38">
        <v>257</v>
      </c>
      <c r="C276" s="77" t="e">
        <f t="shared" ca="1" si="68"/>
        <v>#N/A</v>
      </c>
      <c r="D276" s="78" t="e">
        <f ca="1">+IF(AND(B276&lt;$G$7),VLOOKUP($B$1,Inventory!$A$1:$BC$500,35,FALSE),IF(AND(B276=$G$7,pmt_timing="End"),VLOOKUP($B$1,Inventory!$A$1:$BC$500,35,FALSE),0))</f>
        <v>#N/A</v>
      </c>
      <c r="E276" s="78">
        <v>0</v>
      </c>
      <c r="F276" s="78">
        <v>0</v>
      </c>
      <c r="G276" s="78">
        <v>0</v>
      </c>
      <c r="H276" s="78">
        <v>0</v>
      </c>
      <c r="I276" s="78">
        <v>0</v>
      </c>
      <c r="J276" s="78">
        <v>0</v>
      </c>
      <c r="K276" s="78">
        <v>0</v>
      </c>
      <c r="L276" s="36" t="e">
        <f t="shared" ref="L276:L339" ca="1" si="72">SUM(D276:K276)</f>
        <v>#N/A</v>
      </c>
      <c r="M276" s="37" t="e">
        <f t="shared" ca="1" si="70"/>
        <v>#N/A</v>
      </c>
      <c r="N276" s="37" t="e">
        <f t="shared" ca="1" si="71"/>
        <v>#N/A</v>
      </c>
      <c r="P276" s="35" t="e">
        <f t="shared" ca="1" si="69"/>
        <v>#N/A</v>
      </c>
      <c r="Q276" s="59" t="e">
        <f t="shared" ref="Q276:Q339" ca="1" si="73">IF(P276="","",IF(P276="total","",IF(payfreq="Annually",DATE(YEAR(Q275)+1,MONTH(Q275),DAY(Q275)),IF(payfreq="Semiannually",DATE(YEAR(Q275),MONTH(Q275)+6,DAY(Q275)),IF(payfreq="Quarterly",DATE(YEAR(Q275),MONTH(Q275)+3,DAY(Q275)),IF(payfreq="Monthly",DATE(YEAR(Q275),MONTH(Q275)+1,DAY(Q275))))))))</f>
        <v>#N/A</v>
      </c>
      <c r="R276" s="44" t="e">
        <f t="shared" ref="R276:R339" ca="1" si="74">IF(OR(P276="",P276="Total"),"",V275)</f>
        <v>#N/A</v>
      </c>
      <c r="S276" s="37" t="e">
        <f ca="1">IF(P276="","",IF(P276="Total",SUM($S$19:S275),VLOOKUP($P276,$B$12:$L330,11,FALSE)))</f>
        <v>#N/A</v>
      </c>
      <c r="T276" s="44" t="e">
        <f ca="1">IF(payfreq="Annually",IF(P276="","",IF(P276="Total",SUM($T$19:T275),Adj_Rate*$R276)),IF(payfreq="Semiannually",IF(P276="","",IF(P276="Total",SUM($T$19:T275),Adj_Rate/2*$R276)),IF(payfreq="Quarterly",IF(P276="","",IF(P276="Total",SUM($T$19:T275),Adj_Rate/4*$R276)),IF(payfreq="Monthly",IF(P276="","",IF(P276="Total",SUM($T$19:T275),Adj_Rate/12*$R276)),""))))</f>
        <v>#N/A</v>
      </c>
      <c r="U276" s="37" t="e">
        <f t="shared" ref="U276:U339" ca="1" si="75">+IF(S276="","",S276-T276)</f>
        <v>#N/A</v>
      </c>
      <c r="V276" s="44" t="e">
        <f t="shared" ref="V276:V339" ca="1" si="76">IF(OR(P276="",P276="Total"),"",R276+T276-S276)</f>
        <v>#N/A</v>
      </c>
    </row>
    <row r="277" spans="2:22">
      <c r="B277" s="38">
        <v>258</v>
      </c>
      <c r="C277" s="77" t="e">
        <f t="shared" ref="C277:C340" ca="1" si="77">IF(Q277 &lt;&gt; "",Q277, "")</f>
        <v>#N/A</v>
      </c>
      <c r="D277" s="78" t="e">
        <f ca="1">+IF(AND(B277&lt;$G$7),VLOOKUP($B$1,Inventory!$A$1:$BC$500,35,FALSE),IF(AND(B277=$G$7,pmt_timing="End"),VLOOKUP($B$1,Inventory!$A$1:$BC$500,35,FALSE),0))</f>
        <v>#N/A</v>
      </c>
      <c r="E277" s="78">
        <v>0</v>
      </c>
      <c r="F277" s="78">
        <v>0</v>
      </c>
      <c r="G277" s="78">
        <v>0</v>
      </c>
      <c r="H277" s="78">
        <v>0</v>
      </c>
      <c r="I277" s="78">
        <v>0</v>
      </c>
      <c r="J277" s="78">
        <v>0</v>
      </c>
      <c r="K277" s="78">
        <v>0</v>
      </c>
      <c r="L277" s="36" t="e">
        <f t="shared" ca="1" si="72"/>
        <v>#N/A</v>
      </c>
      <c r="M277" s="37" t="e">
        <f t="shared" ca="1" si="70"/>
        <v>#N/A</v>
      </c>
      <c r="N277" s="37" t="e">
        <f t="shared" ca="1" si="71"/>
        <v>#N/A</v>
      </c>
      <c r="P277" s="35" t="e">
        <f t="shared" ref="P277:P340" ca="1" si="78">IF(P276&lt;term,P276+1,IF(P276=term,"Total",""))</f>
        <v>#N/A</v>
      </c>
      <c r="Q277" s="59" t="e">
        <f t="shared" ca="1" si="73"/>
        <v>#N/A</v>
      </c>
      <c r="R277" s="44" t="e">
        <f t="shared" ca="1" si="74"/>
        <v>#N/A</v>
      </c>
      <c r="S277" s="37" t="e">
        <f ca="1">IF(P277="","",IF(P277="Total",SUM($S$19:S276),VLOOKUP($P277,$B$12:$L331,11,FALSE)))</f>
        <v>#N/A</v>
      </c>
      <c r="T277" s="44" t="e">
        <f ca="1">IF(payfreq="Annually",IF(P277="","",IF(P277="Total",SUM($T$19:T276),Adj_Rate*$R277)),IF(payfreq="Semiannually",IF(P277="","",IF(P277="Total",SUM($T$19:T276),Adj_Rate/2*$R277)),IF(payfreq="Quarterly",IF(P277="","",IF(P277="Total",SUM($T$19:T276),Adj_Rate/4*$R277)),IF(payfreq="Monthly",IF(P277="","",IF(P277="Total",SUM($T$19:T276),Adj_Rate/12*$R277)),""))))</f>
        <v>#N/A</v>
      </c>
      <c r="U277" s="37" t="e">
        <f t="shared" ca="1" si="75"/>
        <v>#N/A</v>
      </c>
      <c r="V277" s="44" t="e">
        <f t="shared" ca="1" si="76"/>
        <v>#N/A</v>
      </c>
    </row>
    <row r="278" spans="2:22">
      <c r="B278" s="38">
        <v>259</v>
      </c>
      <c r="C278" s="77" t="e">
        <f t="shared" ca="1" si="77"/>
        <v>#N/A</v>
      </c>
      <c r="D278" s="78" t="e">
        <f ca="1">+IF(AND(B278&lt;$G$7),VLOOKUP($B$1,Inventory!$A$1:$BC$500,35,FALSE),IF(AND(B278=$G$7,pmt_timing="End"),VLOOKUP($B$1,Inventory!$A$1:$BC$500,35,FALSE),0))</f>
        <v>#N/A</v>
      </c>
      <c r="E278" s="78">
        <v>0</v>
      </c>
      <c r="F278" s="78">
        <v>0</v>
      </c>
      <c r="G278" s="78">
        <v>0</v>
      </c>
      <c r="H278" s="78">
        <v>0</v>
      </c>
      <c r="I278" s="78">
        <v>0</v>
      </c>
      <c r="J278" s="78">
        <v>0</v>
      </c>
      <c r="K278" s="78">
        <v>0</v>
      </c>
      <c r="L278" s="36" t="e">
        <f t="shared" ca="1" si="72"/>
        <v>#N/A</v>
      </c>
      <c r="M278" s="37" t="e">
        <f t="shared" ca="1" si="70"/>
        <v>#N/A</v>
      </c>
      <c r="N278" s="37" t="e">
        <f t="shared" ca="1" si="71"/>
        <v>#N/A</v>
      </c>
      <c r="P278" s="35" t="e">
        <f t="shared" ca="1" si="78"/>
        <v>#N/A</v>
      </c>
      <c r="Q278" s="59" t="e">
        <f t="shared" ca="1" si="73"/>
        <v>#N/A</v>
      </c>
      <c r="R278" s="44" t="e">
        <f t="shared" ca="1" si="74"/>
        <v>#N/A</v>
      </c>
      <c r="S278" s="37" t="e">
        <f ca="1">IF(P278="","",IF(P278="Total",SUM($S$19:S277),VLOOKUP($P278,$B$12:$L332,11,FALSE)))</f>
        <v>#N/A</v>
      </c>
      <c r="T278" s="44" t="e">
        <f ca="1">IF(payfreq="Annually",IF(P278="","",IF(P278="Total",SUM($T$19:T277),Adj_Rate*$R278)),IF(payfreq="Semiannually",IF(P278="","",IF(P278="Total",SUM($T$19:T277),Adj_Rate/2*$R278)),IF(payfreq="Quarterly",IF(P278="","",IF(P278="Total",SUM($T$19:T277),Adj_Rate/4*$R278)),IF(payfreq="Monthly",IF(P278="","",IF(P278="Total",SUM($T$19:T277),Adj_Rate/12*$R278)),""))))</f>
        <v>#N/A</v>
      </c>
      <c r="U278" s="37" t="e">
        <f t="shared" ca="1" si="75"/>
        <v>#N/A</v>
      </c>
      <c r="V278" s="44" t="e">
        <f t="shared" ca="1" si="76"/>
        <v>#N/A</v>
      </c>
    </row>
    <row r="279" spans="2:22">
      <c r="B279" s="38">
        <v>260</v>
      </c>
      <c r="C279" s="77" t="e">
        <f t="shared" ca="1" si="77"/>
        <v>#N/A</v>
      </c>
      <c r="D279" s="78" t="e">
        <f ca="1">+IF(AND(B279&lt;$G$7),VLOOKUP($B$1,Inventory!$A$1:$BC$500,35,FALSE),IF(AND(B279=$G$7,pmt_timing="End"),VLOOKUP($B$1,Inventory!$A$1:$BC$500,35,FALSE),0))</f>
        <v>#N/A</v>
      </c>
      <c r="E279" s="78">
        <v>0</v>
      </c>
      <c r="F279" s="78">
        <v>0</v>
      </c>
      <c r="G279" s="78">
        <v>0</v>
      </c>
      <c r="H279" s="78">
        <v>0</v>
      </c>
      <c r="I279" s="78">
        <v>0</v>
      </c>
      <c r="J279" s="78">
        <v>0</v>
      </c>
      <c r="K279" s="78">
        <v>0</v>
      </c>
      <c r="L279" s="36" t="e">
        <f t="shared" ca="1" si="72"/>
        <v>#N/A</v>
      </c>
      <c r="M279" s="37" t="e">
        <f t="shared" ca="1" si="70"/>
        <v>#N/A</v>
      </c>
      <c r="N279" s="37" t="e">
        <f t="shared" ca="1" si="71"/>
        <v>#N/A</v>
      </c>
      <c r="P279" s="35" t="e">
        <f t="shared" ca="1" si="78"/>
        <v>#N/A</v>
      </c>
      <c r="Q279" s="59" t="e">
        <f t="shared" ca="1" si="73"/>
        <v>#N/A</v>
      </c>
      <c r="R279" s="44" t="e">
        <f t="shared" ca="1" si="74"/>
        <v>#N/A</v>
      </c>
      <c r="S279" s="37" t="e">
        <f ca="1">IF(P279="","",IF(P279="Total",SUM($S$19:S278),VLOOKUP($P279,$B$12:$L333,11,FALSE)))</f>
        <v>#N/A</v>
      </c>
      <c r="T279" s="44" t="e">
        <f ca="1">IF(payfreq="Annually",IF(P279="","",IF(P279="Total",SUM($T$19:T278),Adj_Rate*$R279)),IF(payfreq="Semiannually",IF(P279="","",IF(P279="Total",SUM($T$19:T278),Adj_Rate/2*$R279)),IF(payfreq="Quarterly",IF(P279="","",IF(P279="Total",SUM($T$19:T278),Adj_Rate/4*$R279)),IF(payfreq="Monthly",IF(P279="","",IF(P279="Total",SUM($T$19:T278),Adj_Rate/12*$R279)),""))))</f>
        <v>#N/A</v>
      </c>
      <c r="U279" s="37" t="e">
        <f t="shared" ca="1" si="75"/>
        <v>#N/A</v>
      </c>
      <c r="V279" s="44" t="e">
        <f t="shared" ca="1" si="76"/>
        <v>#N/A</v>
      </c>
    </row>
    <row r="280" spans="2:22">
      <c r="B280" s="38">
        <v>261</v>
      </c>
      <c r="C280" s="77" t="e">
        <f t="shared" ca="1" si="77"/>
        <v>#N/A</v>
      </c>
      <c r="D280" s="78" t="e">
        <f ca="1">+IF(AND(B280&lt;$G$7),VLOOKUP($B$1,Inventory!$A$1:$BC$500,35,FALSE),IF(AND(B280=$G$7,pmt_timing="End"),VLOOKUP($B$1,Inventory!$A$1:$BC$500,35,FALSE),0))</f>
        <v>#N/A</v>
      </c>
      <c r="E280" s="78">
        <v>0</v>
      </c>
      <c r="F280" s="78">
        <v>0</v>
      </c>
      <c r="G280" s="78">
        <v>0</v>
      </c>
      <c r="H280" s="78">
        <v>0</v>
      </c>
      <c r="I280" s="78">
        <v>0</v>
      </c>
      <c r="J280" s="78">
        <v>0</v>
      </c>
      <c r="K280" s="78">
        <v>0</v>
      </c>
      <c r="L280" s="36" t="e">
        <f t="shared" ca="1" si="72"/>
        <v>#N/A</v>
      </c>
      <c r="M280" s="37" t="e">
        <f t="shared" ca="1" si="70"/>
        <v>#N/A</v>
      </c>
      <c r="N280" s="37" t="e">
        <f t="shared" ca="1" si="71"/>
        <v>#N/A</v>
      </c>
      <c r="P280" s="35" t="e">
        <f t="shared" ca="1" si="78"/>
        <v>#N/A</v>
      </c>
      <c r="Q280" s="59" t="e">
        <f t="shared" ca="1" si="73"/>
        <v>#N/A</v>
      </c>
      <c r="R280" s="44" t="e">
        <f t="shared" ca="1" si="74"/>
        <v>#N/A</v>
      </c>
      <c r="S280" s="37" t="e">
        <f ca="1">IF(P280="","",IF(P280="Total",SUM($S$19:S279),VLOOKUP($P280,$B$12:$L334,11,FALSE)))</f>
        <v>#N/A</v>
      </c>
      <c r="T280" s="44" t="e">
        <f ca="1">IF(payfreq="Annually",IF(P280="","",IF(P280="Total",SUM($T$19:T279),Adj_Rate*$R280)),IF(payfreq="Semiannually",IF(P280="","",IF(P280="Total",SUM($T$19:T279),Adj_Rate/2*$R280)),IF(payfreq="Quarterly",IF(P280="","",IF(P280="Total",SUM($T$19:T279),Adj_Rate/4*$R280)),IF(payfreq="Monthly",IF(P280="","",IF(P280="Total",SUM($T$19:T279),Adj_Rate/12*$R280)),""))))</f>
        <v>#N/A</v>
      </c>
      <c r="U280" s="37" t="e">
        <f t="shared" ca="1" si="75"/>
        <v>#N/A</v>
      </c>
      <c r="V280" s="44" t="e">
        <f t="shared" ca="1" si="76"/>
        <v>#N/A</v>
      </c>
    </row>
    <row r="281" spans="2:22">
      <c r="B281" s="38">
        <v>262</v>
      </c>
      <c r="C281" s="77" t="e">
        <f t="shared" ca="1" si="77"/>
        <v>#N/A</v>
      </c>
      <c r="D281" s="78" t="e">
        <f ca="1">+IF(AND(B281&lt;$G$7),VLOOKUP($B$1,Inventory!$A$1:$BC$500,35,FALSE),IF(AND(B281=$G$7,pmt_timing="End"),VLOOKUP($B$1,Inventory!$A$1:$BC$500,35,FALSE),0))</f>
        <v>#N/A</v>
      </c>
      <c r="E281" s="78">
        <v>0</v>
      </c>
      <c r="F281" s="78">
        <v>0</v>
      </c>
      <c r="G281" s="78">
        <v>0</v>
      </c>
      <c r="H281" s="78">
        <v>0</v>
      </c>
      <c r="I281" s="78">
        <v>0</v>
      </c>
      <c r="J281" s="78">
        <v>0</v>
      </c>
      <c r="K281" s="78">
        <v>0</v>
      </c>
      <c r="L281" s="36" t="e">
        <f t="shared" ca="1" si="72"/>
        <v>#N/A</v>
      </c>
      <c r="M281" s="37" t="e">
        <f t="shared" ca="1" si="70"/>
        <v>#N/A</v>
      </c>
      <c r="N281" s="37" t="e">
        <f t="shared" ca="1" si="71"/>
        <v>#N/A</v>
      </c>
      <c r="P281" s="35" t="e">
        <f t="shared" ca="1" si="78"/>
        <v>#N/A</v>
      </c>
      <c r="Q281" s="59" t="e">
        <f t="shared" ca="1" si="73"/>
        <v>#N/A</v>
      </c>
      <c r="R281" s="44" t="e">
        <f t="shared" ca="1" si="74"/>
        <v>#N/A</v>
      </c>
      <c r="S281" s="37" t="e">
        <f ca="1">IF(P281="","",IF(P281="Total",SUM($S$19:S280),VLOOKUP($P281,$B$12:$L335,11,FALSE)))</f>
        <v>#N/A</v>
      </c>
      <c r="T281" s="44" t="e">
        <f ca="1">IF(payfreq="Annually",IF(P281="","",IF(P281="Total",SUM($T$19:T280),Adj_Rate*$R281)),IF(payfreq="Semiannually",IF(P281="","",IF(P281="Total",SUM($T$19:T280),Adj_Rate/2*$R281)),IF(payfreq="Quarterly",IF(P281="","",IF(P281="Total",SUM($T$19:T280),Adj_Rate/4*$R281)),IF(payfreq="Monthly",IF(P281="","",IF(P281="Total",SUM($T$19:T280),Adj_Rate/12*$R281)),""))))</f>
        <v>#N/A</v>
      </c>
      <c r="U281" s="37" t="e">
        <f t="shared" ca="1" si="75"/>
        <v>#N/A</v>
      </c>
      <c r="V281" s="44" t="e">
        <f t="shared" ca="1" si="76"/>
        <v>#N/A</v>
      </c>
    </row>
    <row r="282" spans="2:22">
      <c r="B282" s="38">
        <v>263</v>
      </c>
      <c r="C282" s="77" t="e">
        <f t="shared" ca="1" si="77"/>
        <v>#N/A</v>
      </c>
      <c r="D282" s="78" t="e">
        <f ca="1">+IF(AND(B282&lt;$G$7),VLOOKUP($B$1,Inventory!$A$1:$BC$500,35,FALSE),IF(AND(B282=$G$7,pmt_timing="End"),VLOOKUP($B$1,Inventory!$A$1:$BC$500,35,FALSE),0))</f>
        <v>#N/A</v>
      </c>
      <c r="E282" s="78">
        <v>0</v>
      </c>
      <c r="F282" s="78">
        <v>0</v>
      </c>
      <c r="G282" s="78">
        <v>0</v>
      </c>
      <c r="H282" s="78">
        <v>0</v>
      </c>
      <c r="I282" s="78">
        <v>0</v>
      </c>
      <c r="J282" s="78">
        <v>0</v>
      </c>
      <c r="K282" s="78">
        <v>0</v>
      </c>
      <c r="L282" s="36" t="e">
        <f t="shared" ca="1" si="72"/>
        <v>#N/A</v>
      </c>
      <c r="M282" s="37" t="e">
        <f t="shared" ca="1" si="70"/>
        <v>#N/A</v>
      </c>
      <c r="N282" s="37" t="e">
        <f t="shared" ca="1" si="71"/>
        <v>#N/A</v>
      </c>
      <c r="P282" s="35" t="e">
        <f t="shared" ca="1" si="78"/>
        <v>#N/A</v>
      </c>
      <c r="Q282" s="59" t="e">
        <f t="shared" ca="1" si="73"/>
        <v>#N/A</v>
      </c>
      <c r="R282" s="44" t="e">
        <f t="shared" ca="1" si="74"/>
        <v>#N/A</v>
      </c>
      <c r="S282" s="37" t="e">
        <f ca="1">IF(P282="","",IF(P282="Total",SUM($S$19:S281),VLOOKUP($P282,$B$12:$L336,11,FALSE)))</f>
        <v>#N/A</v>
      </c>
      <c r="T282" s="44" t="e">
        <f ca="1">IF(payfreq="Annually",IF(P282="","",IF(P282="Total",SUM($T$19:T281),Adj_Rate*$R282)),IF(payfreq="Semiannually",IF(P282="","",IF(P282="Total",SUM($T$19:T281),Adj_Rate/2*$R282)),IF(payfreq="Quarterly",IF(P282="","",IF(P282="Total",SUM($T$19:T281),Adj_Rate/4*$R282)),IF(payfreq="Monthly",IF(P282="","",IF(P282="Total",SUM($T$19:T281),Adj_Rate/12*$R282)),""))))</f>
        <v>#N/A</v>
      </c>
      <c r="U282" s="37" t="e">
        <f t="shared" ca="1" si="75"/>
        <v>#N/A</v>
      </c>
      <c r="V282" s="44" t="e">
        <f t="shared" ca="1" si="76"/>
        <v>#N/A</v>
      </c>
    </row>
    <row r="283" spans="2:22">
      <c r="B283" s="38">
        <v>264</v>
      </c>
      <c r="C283" s="77" t="e">
        <f t="shared" ca="1" si="77"/>
        <v>#N/A</v>
      </c>
      <c r="D283" s="78" t="e">
        <f ca="1">+IF(AND(B283&lt;$G$7),VLOOKUP($B$1,Inventory!$A$1:$BC$500,35,FALSE),IF(AND(B283=$G$7,pmt_timing="End"),VLOOKUP($B$1,Inventory!$A$1:$BC$500,35,FALSE),0))</f>
        <v>#N/A</v>
      </c>
      <c r="E283" s="78">
        <v>0</v>
      </c>
      <c r="F283" s="78">
        <v>0</v>
      </c>
      <c r="G283" s="78">
        <v>0</v>
      </c>
      <c r="H283" s="78">
        <v>0</v>
      </c>
      <c r="I283" s="78">
        <v>0</v>
      </c>
      <c r="J283" s="78">
        <v>0</v>
      </c>
      <c r="K283" s="78">
        <v>0</v>
      </c>
      <c r="L283" s="36" t="e">
        <f t="shared" ca="1" si="72"/>
        <v>#N/A</v>
      </c>
      <c r="M283" s="37" t="e">
        <f t="shared" ca="1" si="70"/>
        <v>#N/A</v>
      </c>
      <c r="N283" s="37" t="e">
        <f t="shared" ca="1" si="71"/>
        <v>#N/A</v>
      </c>
      <c r="P283" s="35" t="e">
        <f t="shared" ca="1" si="78"/>
        <v>#N/A</v>
      </c>
      <c r="Q283" s="59" t="e">
        <f t="shared" ca="1" si="73"/>
        <v>#N/A</v>
      </c>
      <c r="R283" s="44" t="e">
        <f t="shared" ca="1" si="74"/>
        <v>#N/A</v>
      </c>
      <c r="S283" s="37" t="e">
        <f ca="1">IF(P283="","",IF(P283="Total",SUM($S$19:S282),VLOOKUP($P283,$B$12:$L337,11,FALSE)))</f>
        <v>#N/A</v>
      </c>
      <c r="T283" s="44" t="e">
        <f ca="1">IF(payfreq="Annually",IF(P283="","",IF(P283="Total",SUM($T$19:T282),Adj_Rate*$R283)),IF(payfreq="Semiannually",IF(P283="","",IF(P283="Total",SUM($T$19:T282),Adj_Rate/2*$R283)),IF(payfreq="Quarterly",IF(P283="","",IF(P283="Total",SUM($T$19:T282),Adj_Rate/4*$R283)),IF(payfreq="Monthly",IF(P283="","",IF(P283="Total",SUM($T$19:T282),Adj_Rate/12*$R283)),""))))</f>
        <v>#N/A</v>
      </c>
      <c r="U283" s="37" t="e">
        <f t="shared" ca="1" si="75"/>
        <v>#N/A</v>
      </c>
      <c r="V283" s="44" t="e">
        <f t="shared" ca="1" si="76"/>
        <v>#N/A</v>
      </c>
    </row>
    <row r="284" spans="2:22">
      <c r="B284" s="38">
        <v>265</v>
      </c>
      <c r="C284" s="77" t="e">
        <f t="shared" ca="1" si="77"/>
        <v>#N/A</v>
      </c>
      <c r="D284" s="78" t="e">
        <f ca="1">+IF(AND(B284&lt;$G$7),VLOOKUP($B$1,Inventory!$A$1:$BC$500,35,FALSE),IF(AND(B284=$G$7,pmt_timing="End"),VLOOKUP($B$1,Inventory!$A$1:$BC$500,35,FALSE),0))</f>
        <v>#N/A</v>
      </c>
      <c r="E284" s="78">
        <v>0</v>
      </c>
      <c r="F284" s="78">
        <v>0</v>
      </c>
      <c r="G284" s="78">
        <v>0</v>
      </c>
      <c r="H284" s="78">
        <v>0</v>
      </c>
      <c r="I284" s="78">
        <v>0</v>
      </c>
      <c r="J284" s="78">
        <v>0</v>
      </c>
      <c r="K284" s="78">
        <v>0</v>
      </c>
      <c r="L284" s="36" t="e">
        <f t="shared" ca="1" si="72"/>
        <v>#N/A</v>
      </c>
      <c r="M284" s="37" t="e">
        <f t="shared" ca="1" si="70"/>
        <v>#N/A</v>
      </c>
      <c r="N284" s="37" t="e">
        <f t="shared" ca="1" si="71"/>
        <v>#N/A</v>
      </c>
      <c r="P284" s="35" t="e">
        <f t="shared" ca="1" si="78"/>
        <v>#N/A</v>
      </c>
      <c r="Q284" s="59" t="e">
        <f t="shared" ca="1" si="73"/>
        <v>#N/A</v>
      </c>
      <c r="R284" s="44" t="e">
        <f t="shared" ca="1" si="74"/>
        <v>#N/A</v>
      </c>
      <c r="S284" s="37" t="e">
        <f ca="1">IF(P284="","",IF(P284="Total",SUM($S$19:S283),VLOOKUP($P284,$B$12:$L338,11,FALSE)))</f>
        <v>#N/A</v>
      </c>
      <c r="T284" s="44" t="e">
        <f ca="1">IF(payfreq="Annually",IF(P284="","",IF(P284="Total",SUM($T$19:T283),Adj_Rate*$R284)),IF(payfreq="Semiannually",IF(P284="","",IF(P284="Total",SUM($T$19:T283),Adj_Rate/2*$R284)),IF(payfreq="Quarterly",IF(P284="","",IF(P284="Total",SUM($T$19:T283),Adj_Rate/4*$R284)),IF(payfreq="Monthly",IF(P284="","",IF(P284="Total",SUM($T$19:T283),Adj_Rate/12*$R284)),""))))</f>
        <v>#N/A</v>
      </c>
      <c r="U284" s="37" t="e">
        <f t="shared" ca="1" si="75"/>
        <v>#N/A</v>
      </c>
      <c r="V284" s="44" t="e">
        <f t="shared" ca="1" si="76"/>
        <v>#N/A</v>
      </c>
    </row>
    <row r="285" spans="2:22">
      <c r="B285" s="38">
        <v>266</v>
      </c>
      <c r="C285" s="77" t="e">
        <f t="shared" ca="1" si="77"/>
        <v>#N/A</v>
      </c>
      <c r="D285" s="78" t="e">
        <f ca="1">+IF(AND(B285&lt;$G$7),VLOOKUP($B$1,Inventory!$A$1:$BC$500,35,FALSE),IF(AND(B285=$G$7,pmt_timing="End"),VLOOKUP($B$1,Inventory!$A$1:$BC$500,35,FALSE),0))</f>
        <v>#N/A</v>
      </c>
      <c r="E285" s="78">
        <v>0</v>
      </c>
      <c r="F285" s="78">
        <v>0</v>
      </c>
      <c r="G285" s="78">
        <v>0</v>
      </c>
      <c r="H285" s="78">
        <v>0</v>
      </c>
      <c r="I285" s="78">
        <v>0</v>
      </c>
      <c r="J285" s="78">
        <v>0</v>
      </c>
      <c r="K285" s="78">
        <v>0</v>
      </c>
      <c r="L285" s="36" t="e">
        <f t="shared" ca="1" si="72"/>
        <v>#N/A</v>
      </c>
      <c r="M285" s="37" t="e">
        <f t="shared" ca="1" si="70"/>
        <v>#N/A</v>
      </c>
      <c r="N285" s="37" t="e">
        <f t="shared" ca="1" si="71"/>
        <v>#N/A</v>
      </c>
      <c r="P285" s="35" t="e">
        <f t="shared" ca="1" si="78"/>
        <v>#N/A</v>
      </c>
      <c r="Q285" s="59" t="e">
        <f t="shared" ca="1" si="73"/>
        <v>#N/A</v>
      </c>
      <c r="R285" s="44" t="e">
        <f t="shared" ca="1" si="74"/>
        <v>#N/A</v>
      </c>
      <c r="S285" s="37" t="e">
        <f ca="1">IF(P285="","",IF(P285="Total",SUM($S$19:S284),VLOOKUP($P285,$B$12:$L339,11,FALSE)))</f>
        <v>#N/A</v>
      </c>
      <c r="T285" s="44" t="e">
        <f ca="1">IF(payfreq="Annually",IF(P285="","",IF(P285="Total",SUM($T$19:T284),Adj_Rate*$R285)),IF(payfreq="Semiannually",IF(P285="","",IF(P285="Total",SUM($T$19:T284),Adj_Rate/2*$R285)),IF(payfreq="Quarterly",IF(P285="","",IF(P285="Total",SUM($T$19:T284),Adj_Rate/4*$R285)),IF(payfreq="Monthly",IF(P285="","",IF(P285="Total",SUM($T$19:T284),Adj_Rate/12*$R285)),""))))</f>
        <v>#N/A</v>
      </c>
      <c r="U285" s="37" t="e">
        <f t="shared" ca="1" si="75"/>
        <v>#N/A</v>
      </c>
      <c r="V285" s="44" t="e">
        <f t="shared" ca="1" si="76"/>
        <v>#N/A</v>
      </c>
    </row>
    <row r="286" spans="2:22">
      <c r="B286" s="38">
        <v>267</v>
      </c>
      <c r="C286" s="77" t="e">
        <f t="shared" ca="1" si="77"/>
        <v>#N/A</v>
      </c>
      <c r="D286" s="78" t="e">
        <f ca="1">+IF(AND(B286&lt;$G$7),VLOOKUP($B$1,Inventory!$A$1:$BC$500,35,FALSE),IF(AND(B286=$G$7,pmt_timing="End"),VLOOKUP($B$1,Inventory!$A$1:$BC$500,35,FALSE),0))</f>
        <v>#N/A</v>
      </c>
      <c r="E286" s="78">
        <v>0</v>
      </c>
      <c r="F286" s="78">
        <v>0</v>
      </c>
      <c r="G286" s="78">
        <v>0</v>
      </c>
      <c r="H286" s="78">
        <v>0</v>
      </c>
      <c r="I286" s="78">
        <v>0</v>
      </c>
      <c r="J286" s="78">
        <v>0</v>
      </c>
      <c r="K286" s="78">
        <v>0</v>
      </c>
      <c r="L286" s="36" t="e">
        <f t="shared" ca="1" si="72"/>
        <v>#N/A</v>
      </c>
      <c r="M286" s="37" t="e">
        <f t="shared" ca="1" si="70"/>
        <v>#N/A</v>
      </c>
      <c r="N286" s="37" t="e">
        <f t="shared" ca="1" si="71"/>
        <v>#N/A</v>
      </c>
      <c r="P286" s="35" t="e">
        <f t="shared" ca="1" si="78"/>
        <v>#N/A</v>
      </c>
      <c r="Q286" s="59" t="e">
        <f t="shared" ca="1" si="73"/>
        <v>#N/A</v>
      </c>
      <c r="R286" s="44" t="e">
        <f t="shared" ca="1" si="74"/>
        <v>#N/A</v>
      </c>
      <c r="S286" s="37" t="e">
        <f ca="1">IF(P286="","",IF(P286="Total",SUM($S$19:S285),VLOOKUP($P286,$B$12:$L340,11,FALSE)))</f>
        <v>#N/A</v>
      </c>
      <c r="T286" s="44" t="e">
        <f ca="1">IF(payfreq="Annually",IF(P286="","",IF(P286="Total",SUM($T$19:T285),Adj_Rate*$R286)),IF(payfreq="Semiannually",IF(P286="","",IF(P286="Total",SUM($T$19:T285),Adj_Rate/2*$R286)),IF(payfreq="Quarterly",IF(P286="","",IF(P286="Total",SUM($T$19:T285),Adj_Rate/4*$R286)),IF(payfreq="Monthly",IF(P286="","",IF(P286="Total",SUM($T$19:T285),Adj_Rate/12*$R286)),""))))</f>
        <v>#N/A</v>
      </c>
      <c r="U286" s="37" t="e">
        <f t="shared" ca="1" si="75"/>
        <v>#N/A</v>
      </c>
      <c r="V286" s="44" t="e">
        <f t="shared" ca="1" si="76"/>
        <v>#N/A</v>
      </c>
    </row>
    <row r="287" spans="2:22">
      <c r="B287" s="38">
        <v>268</v>
      </c>
      <c r="C287" s="77" t="e">
        <f t="shared" ca="1" si="77"/>
        <v>#N/A</v>
      </c>
      <c r="D287" s="78" t="e">
        <f ca="1">+IF(AND(B287&lt;$G$7),VLOOKUP($B$1,Inventory!$A$1:$BC$500,35,FALSE),IF(AND(B287=$G$7,pmt_timing="End"),VLOOKUP($B$1,Inventory!$A$1:$BC$500,35,FALSE),0))</f>
        <v>#N/A</v>
      </c>
      <c r="E287" s="78">
        <v>0</v>
      </c>
      <c r="F287" s="78">
        <v>0</v>
      </c>
      <c r="G287" s="78">
        <v>0</v>
      </c>
      <c r="H287" s="78">
        <v>0</v>
      </c>
      <c r="I287" s="78">
        <v>0</v>
      </c>
      <c r="J287" s="78">
        <v>0</v>
      </c>
      <c r="K287" s="78">
        <v>0</v>
      </c>
      <c r="L287" s="36" t="e">
        <f t="shared" ca="1" si="72"/>
        <v>#N/A</v>
      </c>
      <c r="M287" s="37" t="e">
        <f t="shared" ca="1" si="70"/>
        <v>#N/A</v>
      </c>
      <c r="N287" s="37" t="e">
        <f t="shared" ca="1" si="71"/>
        <v>#N/A</v>
      </c>
      <c r="P287" s="35" t="e">
        <f t="shared" ca="1" si="78"/>
        <v>#N/A</v>
      </c>
      <c r="Q287" s="59" t="e">
        <f t="shared" ca="1" si="73"/>
        <v>#N/A</v>
      </c>
      <c r="R287" s="44" t="e">
        <f t="shared" ca="1" si="74"/>
        <v>#N/A</v>
      </c>
      <c r="S287" s="37" t="e">
        <f ca="1">IF(P287="","",IF(P287="Total",SUM($S$19:S286),VLOOKUP($P287,$B$12:$L341,11,FALSE)))</f>
        <v>#N/A</v>
      </c>
      <c r="T287" s="44" t="e">
        <f ca="1">IF(payfreq="Annually",IF(P287="","",IF(P287="Total",SUM($T$19:T286),Adj_Rate*$R287)),IF(payfreq="Semiannually",IF(P287="","",IF(P287="Total",SUM($T$19:T286),Adj_Rate/2*$R287)),IF(payfreq="Quarterly",IF(P287="","",IF(P287="Total",SUM($T$19:T286),Adj_Rate/4*$R287)),IF(payfreq="Monthly",IF(P287="","",IF(P287="Total",SUM($T$19:T286),Adj_Rate/12*$R287)),""))))</f>
        <v>#N/A</v>
      </c>
      <c r="U287" s="37" t="e">
        <f t="shared" ca="1" si="75"/>
        <v>#N/A</v>
      </c>
      <c r="V287" s="44" t="e">
        <f t="shared" ca="1" si="76"/>
        <v>#N/A</v>
      </c>
    </row>
    <row r="288" spans="2:22">
      <c r="B288" s="38">
        <v>269</v>
      </c>
      <c r="C288" s="77" t="e">
        <f t="shared" ca="1" si="77"/>
        <v>#N/A</v>
      </c>
      <c r="D288" s="78" t="e">
        <f ca="1">+IF(AND(B288&lt;$G$7),VLOOKUP($B$1,Inventory!$A$1:$BC$500,35,FALSE),IF(AND(B288=$G$7,pmt_timing="End"),VLOOKUP($B$1,Inventory!$A$1:$BC$500,35,FALSE),0))</f>
        <v>#N/A</v>
      </c>
      <c r="E288" s="78">
        <v>0</v>
      </c>
      <c r="F288" s="78">
        <v>0</v>
      </c>
      <c r="G288" s="78">
        <v>0</v>
      </c>
      <c r="H288" s="78">
        <v>0</v>
      </c>
      <c r="I288" s="78">
        <v>0</v>
      </c>
      <c r="J288" s="78">
        <v>0</v>
      </c>
      <c r="K288" s="78">
        <v>0</v>
      </c>
      <c r="L288" s="36" t="e">
        <f t="shared" ca="1" si="72"/>
        <v>#N/A</v>
      </c>
      <c r="M288" s="37" t="e">
        <f t="shared" ca="1" si="70"/>
        <v>#N/A</v>
      </c>
      <c r="N288" s="37" t="e">
        <f t="shared" ca="1" si="71"/>
        <v>#N/A</v>
      </c>
      <c r="P288" s="35" t="e">
        <f t="shared" ca="1" si="78"/>
        <v>#N/A</v>
      </c>
      <c r="Q288" s="59" t="e">
        <f t="shared" ca="1" si="73"/>
        <v>#N/A</v>
      </c>
      <c r="R288" s="44" t="e">
        <f t="shared" ca="1" si="74"/>
        <v>#N/A</v>
      </c>
      <c r="S288" s="37" t="e">
        <f ca="1">IF(P288="","",IF(P288="Total",SUM($S$19:S287),VLOOKUP($P288,$B$12:$L342,11,FALSE)))</f>
        <v>#N/A</v>
      </c>
      <c r="T288" s="44" t="e">
        <f ca="1">IF(payfreq="Annually",IF(P288="","",IF(P288="Total",SUM($T$19:T287),Adj_Rate*$R288)),IF(payfreq="Semiannually",IF(P288="","",IF(P288="Total",SUM($T$19:T287),Adj_Rate/2*$R288)),IF(payfreq="Quarterly",IF(P288="","",IF(P288="Total",SUM($T$19:T287),Adj_Rate/4*$R288)),IF(payfreq="Monthly",IF(P288="","",IF(P288="Total",SUM($T$19:T287),Adj_Rate/12*$R288)),""))))</f>
        <v>#N/A</v>
      </c>
      <c r="U288" s="37" t="e">
        <f t="shared" ca="1" si="75"/>
        <v>#N/A</v>
      </c>
      <c r="V288" s="44" t="e">
        <f t="shared" ca="1" si="76"/>
        <v>#N/A</v>
      </c>
    </row>
    <row r="289" spans="2:22">
      <c r="B289" s="38">
        <v>270</v>
      </c>
      <c r="C289" s="77" t="e">
        <f t="shared" ca="1" si="77"/>
        <v>#N/A</v>
      </c>
      <c r="D289" s="78" t="e">
        <f ca="1">+IF(AND(B289&lt;$G$7),VLOOKUP($B$1,Inventory!$A$1:$BC$500,35,FALSE),IF(AND(B289=$G$7,pmt_timing="End"),VLOOKUP($B$1,Inventory!$A$1:$BC$500,35,FALSE),0))</f>
        <v>#N/A</v>
      </c>
      <c r="E289" s="78">
        <v>0</v>
      </c>
      <c r="F289" s="78">
        <v>0</v>
      </c>
      <c r="G289" s="78">
        <v>0</v>
      </c>
      <c r="H289" s="78">
        <v>0</v>
      </c>
      <c r="I289" s="78">
        <v>0</v>
      </c>
      <c r="J289" s="78">
        <v>0</v>
      </c>
      <c r="K289" s="78">
        <v>0</v>
      </c>
      <c r="L289" s="36" t="e">
        <f t="shared" ca="1" si="72"/>
        <v>#N/A</v>
      </c>
      <c r="M289" s="37" t="e">
        <f t="shared" ca="1" si="70"/>
        <v>#N/A</v>
      </c>
      <c r="N289" s="37" t="e">
        <f t="shared" ca="1" si="71"/>
        <v>#N/A</v>
      </c>
      <c r="P289" s="35" t="e">
        <f t="shared" ca="1" si="78"/>
        <v>#N/A</v>
      </c>
      <c r="Q289" s="59" t="e">
        <f t="shared" ca="1" si="73"/>
        <v>#N/A</v>
      </c>
      <c r="R289" s="44" t="e">
        <f t="shared" ca="1" si="74"/>
        <v>#N/A</v>
      </c>
      <c r="S289" s="37" t="e">
        <f ca="1">IF(P289="","",IF(P289="Total",SUM($S$19:S288),VLOOKUP($P289,$B$12:$L343,11,FALSE)))</f>
        <v>#N/A</v>
      </c>
      <c r="T289" s="44" t="e">
        <f ca="1">IF(payfreq="Annually",IF(P289="","",IF(P289="Total",SUM($T$19:T288),Adj_Rate*$R289)),IF(payfreq="Semiannually",IF(P289="","",IF(P289="Total",SUM($T$19:T288),Adj_Rate/2*$R289)),IF(payfreq="Quarterly",IF(P289="","",IF(P289="Total",SUM($T$19:T288),Adj_Rate/4*$R289)),IF(payfreq="Monthly",IF(P289="","",IF(P289="Total",SUM($T$19:T288),Adj_Rate/12*$R289)),""))))</f>
        <v>#N/A</v>
      </c>
      <c r="U289" s="37" t="e">
        <f t="shared" ca="1" si="75"/>
        <v>#N/A</v>
      </c>
      <c r="V289" s="44" t="e">
        <f t="shared" ca="1" si="76"/>
        <v>#N/A</v>
      </c>
    </row>
    <row r="290" spans="2:22">
      <c r="B290" s="38">
        <v>271</v>
      </c>
      <c r="C290" s="77" t="e">
        <f t="shared" ca="1" si="77"/>
        <v>#N/A</v>
      </c>
      <c r="D290" s="78" t="e">
        <f ca="1">+IF(AND(B290&lt;$G$7),VLOOKUP($B$1,Inventory!$A$1:$BC$500,35,FALSE),IF(AND(B290=$G$7,pmt_timing="End"),VLOOKUP($B$1,Inventory!$A$1:$BC$500,35,FALSE),0))</f>
        <v>#N/A</v>
      </c>
      <c r="E290" s="78">
        <v>0</v>
      </c>
      <c r="F290" s="78">
        <v>0</v>
      </c>
      <c r="G290" s="78">
        <v>0</v>
      </c>
      <c r="H290" s="78">
        <v>0</v>
      </c>
      <c r="I290" s="78">
        <v>0</v>
      </c>
      <c r="J290" s="78">
        <v>0</v>
      </c>
      <c r="K290" s="78">
        <v>0</v>
      </c>
      <c r="L290" s="36" t="e">
        <f t="shared" ca="1" si="72"/>
        <v>#N/A</v>
      </c>
      <c r="M290" s="37" t="e">
        <f t="shared" ca="1" si="70"/>
        <v>#N/A</v>
      </c>
      <c r="N290" s="37" t="e">
        <f t="shared" ca="1" si="71"/>
        <v>#N/A</v>
      </c>
      <c r="P290" s="35" t="e">
        <f t="shared" ca="1" si="78"/>
        <v>#N/A</v>
      </c>
      <c r="Q290" s="59" t="e">
        <f t="shared" ca="1" si="73"/>
        <v>#N/A</v>
      </c>
      <c r="R290" s="44" t="e">
        <f t="shared" ca="1" si="74"/>
        <v>#N/A</v>
      </c>
      <c r="S290" s="37" t="e">
        <f ca="1">IF(P290="","",IF(P290="Total",SUM($S$19:S289),VLOOKUP($P290,$B$12:$L344,11,FALSE)))</f>
        <v>#N/A</v>
      </c>
      <c r="T290" s="44" t="e">
        <f ca="1">IF(payfreq="Annually",IF(P290="","",IF(P290="Total",SUM($T$19:T289),Adj_Rate*$R290)),IF(payfreq="Semiannually",IF(P290="","",IF(P290="Total",SUM($T$19:T289),Adj_Rate/2*$R290)),IF(payfreq="Quarterly",IF(P290="","",IF(P290="Total",SUM($T$19:T289),Adj_Rate/4*$R290)),IF(payfreq="Monthly",IF(P290="","",IF(P290="Total",SUM($T$19:T289),Adj_Rate/12*$R290)),""))))</f>
        <v>#N/A</v>
      </c>
      <c r="U290" s="37" t="e">
        <f t="shared" ca="1" si="75"/>
        <v>#N/A</v>
      </c>
      <c r="V290" s="44" t="e">
        <f t="shared" ca="1" si="76"/>
        <v>#N/A</v>
      </c>
    </row>
    <row r="291" spans="2:22">
      <c r="B291" s="38">
        <v>272</v>
      </c>
      <c r="C291" s="77" t="e">
        <f t="shared" ca="1" si="77"/>
        <v>#N/A</v>
      </c>
      <c r="D291" s="78" t="e">
        <f ca="1">+IF(AND(B291&lt;$G$7),VLOOKUP($B$1,Inventory!$A$1:$BC$500,35,FALSE),IF(AND(B291=$G$7,pmt_timing="End"),VLOOKUP($B$1,Inventory!$A$1:$BC$500,35,FALSE),0))</f>
        <v>#N/A</v>
      </c>
      <c r="E291" s="78">
        <v>0</v>
      </c>
      <c r="F291" s="78">
        <v>0</v>
      </c>
      <c r="G291" s="78">
        <v>0</v>
      </c>
      <c r="H291" s="78">
        <v>0</v>
      </c>
      <c r="I291" s="78">
        <v>0</v>
      </c>
      <c r="J291" s="78">
        <v>0</v>
      </c>
      <c r="K291" s="78">
        <v>0</v>
      </c>
      <c r="L291" s="36" t="e">
        <f t="shared" ca="1" si="72"/>
        <v>#N/A</v>
      </c>
      <c r="M291" s="37" t="e">
        <f t="shared" ca="1" si="70"/>
        <v>#N/A</v>
      </c>
      <c r="N291" s="37" t="e">
        <f t="shared" ca="1" si="71"/>
        <v>#N/A</v>
      </c>
      <c r="P291" s="35" t="e">
        <f t="shared" ca="1" si="78"/>
        <v>#N/A</v>
      </c>
      <c r="Q291" s="59" t="e">
        <f t="shared" ca="1" si="73"/>
        <v>#N/A</v>
      </c>
      <c r="R291" s="44" t="e">
        <f t="shared" ca="1" si="74"/>
        <v>#N/A</v>
      </c>
      <c r="S291" s="37" t="e">
        <f ca="1">IF(P291="","",IF(P291="Total",SUM($S$19:S290),VLOOKUP($P291,$B$12:$L345,11,FALSE)))</f>
        <v>#N/A</v>
      </c>
      <c r="T291" s="44" t="e">
        <f ca="1">IF(payfreq="Annually",IF(P291="","",IF(P291="Total",SUM($T$19:T290),Adj_Rate*$R291)),IF(payfreq="Semiannually",IF(P291="","",IF(P291="Total",SUM($T$19:T290),Adj_Rate/2*$R291)),IF(payfreq="Quarterly",IF(P291="","",IF(P291="Total",SUM($T$19:T290),Adj_Rate/4*$R291)),IF(payfreq="Monthly",IF(P291="","",IF(P291="Total",SUM($T$19:T290),Adj_Rate/12*$R291)),""))))</f>
        <v>#N/A</v>
      </c>
      <c r="U291" s="37" t="e">
        <f t="shared" ca="1" si="75"/>
        <v>#N/A</v>
      </c>
      <c r="V291" s="44" t="e">
        <f t="shared" ca="1" si="76"/>
        <v>#N/A</v>
      </c>
    </row>
    <row r="292" spans="2:22">
      <c r="B292" s="38">
        <v>273</v>
      </c>
      <c r="C292" s="77" t="e">
        <f t="shared" ca="1" si="77"/>
        <v>#N/A</v>
      </c>
      <c r="D292" s="78" t="e">
        <f ca="1">+IF(AND(B292&lt;$G$7),VLOOKUP($B$1,Inventory!$A$1:$BC$500,35,FALSE),IF(AND(B292=$G$7,pmt_timing="End"),VLOOKUP($B$1,Inventory!$A$1:$BC$500,35,FALSE),0))</f>
        <v>#N/A</v>
      </c>
      <c r="E292" s="78">
        <v>0</v>
      </c>
      <c r="F292" s="78">
        <v>0</v>
      </c>
      <c r="G292" s="78">
        <v>0</v>
      </c>
      <c r="H292" s="78">
        <v>0</v>
      </c>
      <c r="I292" s="78">
        <v>0</v>
      </c>
      <c r="J292" s="78">
        <v>0</v>
      </c>
      <c r="K292" s="78">
        <v>0</v>
      </c>
      <c r="L292" s="36" t="e">
        <f t="shared" ca="1" si="72"/>
        <v>#N/A</v>
      </c>
      <c r="M292" s="37" t="e">
        <f t="shared" ca="1" si="70"/>
        <v>#N/A</v>
      </c>
      <c r="N292" s="37" t="e">
        <f t="shared" ca="1" si="71"/>
        <v>#N/A</v>
      </c>
      <c r="P292" s="35" t="e">
        <f t="shared" ca="1" si="78"/>
        <v>#N/A</v>
      </c>
      <c r="Q292" s="59" t="e">
        <f t="shared" ca="1" si="73"/>
        <v>#N/A</v>
      </c>
      <c r="R292" s="44" t="e">
        <f t="shared" ca="1" si="74"/>
        <v>#N/A</v>
      </c>
      <c r="S292" s="37" t="e">
        <f ca="1">IF(P292="","",IF(P292="Total",SUM($S$19:S291),VLOOKUP($P292,$B$12:$L346,11,FALSE)))</f>
        <v>#N/A</v>
      </c>
      <c r="T292" s="44" t="e">
        <f ca="1">IF(payfreq="Annually",IF(P292="","",IF(P292="Total",SUM($T$19:T291),Adj_Rate*$R292)),IF(payfreq="Semiannually",IF(P292="","",IF(P292="Total",SUM($T$19:T291),Adj_Rate/2*$R292)),IF(payfreq="Quarterly",IF(P292="","",IF(P292="Total",SUM($T$19:T291),Adj_Rate/4*$R292)),IF(payfreq="Monthly",IF(P292="","",IF(P292="Total",SUM($T$19:T291),Adj_Rate/12*$R292)),""))))</f>
        <v>#N/A</v>
      </c>
      <c r="U292" s="37" t="e">
        <f t="shared" ca="1" si="75"/>
        <v>#N/A</v>
      </c>
      <c r="V292" s="44" t="e">
        <f t="shared" ca="1" si="76"/>
        <v>#N/A</v>
      </c>
    </row>
    <row r="293" spans="2:22">
      <c r="B293" s="38">
        <v>274</v>
      </c>
      <c r="C293" s="77" t="e">
        <f t="shared" ca="1" si="77"/>
        <v>#N/A</v>
      </c>
      <c r="D293" s="78" t="e">
        <f ca="1">+IF(AND(B293&lt;$G$7),VLOOKUP($B$1,Inventory!$A$1:$BC$500,35,FALSE),IF(AND(B293=$G$7,pmt_timing="End"),VLOOKUP($B$1,Inventory!$A$1:$BC$500,35,FALSE),0))</f>
        <v>#N/A</v>
      </c>
      <c r="E293" s="78">
        <v>0</v>
      </c>
      <c r="F293" s="78">
        <v>0</v>
      </c>
      <c r="G293" s="78">
        <v>0</v>
      </c>
      <c r="H293" s="78">
        <v>0</v>
      </c>
      <c r="I293" s="78">
        <v>0</v>
      </c>
      <c r="J293" s="78">
        <v>0</v>
      </c>
      <c r="K293" s="78">
        <v>0</v>
      </c>
      <c r="L293" s="36" t="e">
        <f t="shared" ca="1" si="72"/>
        <v>#N/A</v>
      </c>
      <c r="M293" s="37" t="e">
        <f t="shared" ca="1" si="70"/>
        <v>#N/A</v>
      </c>
      <c r="N293" s="37" t="e">
        <f t="shared" ca="1" si="71"/>
        <v>#N/A</v>
      </c>
      <c r="P293" s="35" t="e">
        <f t="shared" ca="1" si="78"/>
        <v>#N/A</v>
      </c>
      <c r="Q293" s="59" t="e">
        <f t="shared" ca="1" si="73"/>
        <v>#N/A</v>
      </c>
      <c r="R293" s="44" t="e">
        <f t="shared" ca="1" si="74"/>
        <v>#N/A</v>
      </c>
      <c r="S293" s="37" t="e">
        <f ca="1">IF(P293="","",IF(P293="Total",SUM($S$19:S292),VLOOKUP($P293,$B$12:$L347,11,FALSE)))</f>
        <v>#N/A</v>
      </c>
      <c r="T293" s="44" t="e">
        <f ca="1">IF(payfreq="Annually",IF(P293="","",IF(P293="Total",SUM($T$19:T292),Adj_Rate*$R293)),IF(payfreq="Semiannually",IF(P293="","",IF(P293="Total",SUM($T$19:T292),Adj_Rate/2*$R293)),IF(payfreq="Quarterly",IF(P293="","",IF(P293="Total",SUM($T$19:T292),Adj_Rate/4*$R293)),IF(payfreq="Monthly",IF(P293="","",IF(P293="Total",SUM($T$19:T292),Adj_Rate/12*$R293)),""))))</f>
        <v>#N/A</v>
      </c>
      <c r="U293" s="37" t="e">
        <f t="shared" ca="1" si="75"/>
        <v>#N/A</v>
      </c>
      <c r="V293" s="44" t="e">
        <f t="shared" ca="1" si="76"/>
        <v>#N/A</v>
      </c>
    </row>
    <row r="294" spans="2:22">
      <c r="B294" s="38">
        <v>275</v>
      </c>
      <c r="C294" s="77" t="e">
        <f t="shared" ca="1" si="77"/>
        <v>#N/A</v>
      </c>
      <c r="D294" s="78" t="e">
        <f ca="1">+IF(AND(B294&lt;$G$7),VLOOKUP($B$1,Inventory!$A$1:$BC$500,35,FALSE),IF(AND(B294=$G$7,pmt_timing="End"),VLOOKUP($B$1,Inventory!$A$1:$BC$500,35,FALSE),0))</f>
        <v>#N/A</v>
      </c>
      <c r="E294" s="78">
        <v>0</v>
      </c>
      <c r="F294" s="78">
        <v>0</v>
      </c>
      <c r="G294" s="78">
        <v>0</v>
      </c>
      <c r="H294" s="78">
        <v>0</v>
      </c>
      <c r="I294" s="78">
        <v>0</v>
      </c>
      <c r="J294" s="78">
        <v>0</v>
      </c>
      <c r="K294" s="78">
        <v>0</v>
      </c>
      <c r="L294" s="36" t="e">
        <f t="shared" ca="1" si="72"/>
        <v>#N/A</v>
      </c>
      <c r="M294" s="37" t="e">
        <f t="shared" ca="1" si="70"/>
        <v>#N/A</v>
      </c>
      <c r="N294" s="37" t="e">
        <f t="shared" ca="1" si="71"/>
        <v>#N/A</v>
      </c>
      <c r="P294" s="35" t="e">
        <f t="shared" ca="1" si="78"/>
        <v>#N/A</v>
      </c>
      <c r="Q294" s="59" t="e">
        <f t="shared" ca="1" si="73"/>
        <v>#N/A</v>
      </c>
      <c r="R294" s="44" t="e">
        <f t="shared" ca="1" si="74"/>
        <v>#N/A</v>
      </c>
      <c r="S294" s="37" t="e">
        <f ca="1">IF(P294="","",IF(P294="Total",SUM($S$19:S293),VLOOKUP($P294,$B$12:$L348,11,FALSE)))</f>
        <v>#N/A</v>
      </c>
      <c r="T294" s="44" t="e">
        <f ca="1">IF(payfreq="Annually",IF(P294="","",IF(P294="Total",SUM($T$19:T293),Adj_Rate*$R294)),IF(payfreq="Semiannually",IF(P294="","",IF(P294="Total",SUM($T$19:T293),Adj_Rate/2*$R294)),IF(payfreq="Quarterly",IF(P294="","",IF(P294="Total",SUM($T$19:T293),Adj_Rate/4*$R294)),IF(payfreq="Monthly",IF(P294="","",IF(P294="Total",SUM($T$19:T293),Adj_Rate/12*$R294)),""))))</f>
        <v>#N/A</v>
      </c>
      <c r="U294" s="37" t="e">
        <f t="shared" ca="1" si="75"/>
        <v>#N/A</v>
      </c>
      <c r="V294" s="44" t="e">
        <f t="shared" ca="1" si="76"/>
        <v>#N/A</v>
      </c>
    </row>
    <row r="295" spans="2:22">
      <c r="B295" s="38">
        <v>276</v>
      </c>
      <c r="C295" s="77" t="e">
        <f t="shared" ca="1" si="77"/>
        <v>#N/A</v>
      </c>
      <c r="D295" s="78" t="e">
        <f ca="1">+IF(AND(B295&lt;$G$7),VLOOKUP($B$1,Inventory!$A$1:$BC$500,35,FALSE),IF(AND(B295=$G$7,pmt_timing="End"),VLOOKUP($B$1,Inventory!$A$1:$BC$500,35,FALSE),0))</f>
        <v>#N/A</v>
      </c>
      <c r="E295" s="78">
        <v>0</v>
      </c>
      <c r="F295" s="78">
        <v>0</v>
      </c>
      <c r="G295" s="78">
        <v>0</v>
      </c>
      <c r="H295" s="78">
        <v>0</v>
      </c>
      <c r="I295" s="78">
        <v>0</v>
      </c>
      <c r="J295" s="78">
        <v>0</v>
      </c>
      <c r="K295" s="78">
        <v>0</v>
      </c>
      <c r="L295" s="36" t="e">
        <f t="shared" ca="1" si="72"/>
        <v>#N/A</v>
      </c>
      <c r="M295" s="37" t="e">
        <f t="shared" ca="1" si="70"/>
        <v>#N/A</v>
      </c>
      <c r="N295" s="37" t="e">
        <f t="shared" ca="1" si="71"/>
        <v>#N/A</v>
      </c>
      <c r="P295" s="35" t="e">
        <f t="shared" ca="1" si="78"/>
        <v>#N/A</v>
      </c>
      <c r="Q295" s="59" t="e">
        <f t="shared" ca="1" si="73"/>
        <v>#N/A</v>
      </c>
      <c r="R295" s="44" t="e">
        <f t="shared" ca="1" si="74"/>
        <v>#N/A</v>
      </c>
      <c r="S295" s="37" t="e">
        <f ca="1">IF(P295="","",IF(P295="Total",SUM($S$19:S294),VLOOKUP($P295,$B$12:$L349,11,FALSE)))</f>
        <v>#N/A</v>
      </c>
      <c r="T295" s="44" t="e">
        <f ca="1">IF(payfreq="Annually",IF(P295="","",IF(P295="Total",SUM($T$19:T294),Adj_Rate*$R295)),IF(payfreq="Semiannually",IF(P295="","",IF(P295="Total",SUM($T$19:T294),Adj_Rate/2*$R295)),IF(payfreq="Quarterly",IF(P295="","",IF(P295="Total",SUM($T$19:T294),Adj_Rate/4*$R295)),IF(payfreq="Monthly",IF(P295="","",IF(P295="Total",SUM($T$19:T294),Adj_Rate/12*$R295)),""))))</f>
        <v>#N/A</v>
      </c>
      <c r="U295" s="37" t="e">
        <f t="shared" ca="1" si="75"/>
        <v>#N/A</v>
      </c>
      <c r="V295" s="44" t="e">
        <f t="shared" ca="1" si="76"/>
        <v>#N/A</v>
      </c>
    </row>
    <row r="296" spans="2:22">
      <c r="B296" s="38">
        <v>277</v>
      </c>
      <c r="C296" s="77" t="e">
        <f t="shared" ca="1" si="77"/>
        <v>#N/A</v>
      </c>
      <c r="D296" s="78" t="e">
        <f ca="1">+IF(AND(B296&lt;$G$7),VLOOKUP($B$1,Inventory!$A$1:$BC$500,35,FALSE),IF(AND(B296=$G$7,pmt_timing="End"),VLOOKUP($B$1,Inventory!$A$1:$BC$500,35,FALSE),0))</f>
        <v>#N/A</v>
      </c>
      <c r="E296" s="78">
        <v>0</v>
      </c>
      <c r="F296" s="78">
        <v>0</v>
      </c>
      <c r="G296" s="78">
        <v>0</v>
      </c>
      <c r="H296" s="78">
        <v>0</v>
      </c>
      <c r="I296" s="78">
        <v>0</v>
      </c>
      <c r="J296" s="78">
        <v>0</v>
      </c>
      <c r="K296" s="78">
        <v>0</v>
      </c>
      <c r="L296" s="36" t="e">
        <f t="shared" ca="1" si="72"/>
        <v>#N/A</v>
      </c>
      <c r="M296" s="37" t="e">
        <f t="shared" ca="1" si="70"/>
        <v>#N/A</v>
      </c>
      <c r="N296" s="37" t="e">
        <f t="shared" ca="1" si="71"/>
        <v>#N/A</v>
      </c>
      <c r="P296" s="35" t="e">
        <f t="shared" ca="1" si="78"/>
        <v>#N/A</v>
      </c>
      <c r="Q296" s="59" t="e">
        <f t="shared" ca="1" si="73"/>
        <v>#N/A</v>
      </c>
      <c r="R296" s="44" t="e">
        <f t="shared" ca="1" si="74"/>
        <v>#N/A</v>
      </c>
      <c r="S296" s="37" t="e">
        <f ca="1">IF(P296="","",IF(P296="Total",SUM($S$19:S295),VLOOKUP($P296,$B$12:$L350,11,FALSE)))</f>
        <v>#N/A</v>
      </c>
      <c r="T296" s="44" t="e">
        <f ca="1">IF(payfreq="Annually",IF(P296="","",IF(P296="Total",SUM($T$19:T295),Adj_Rate*$R296)),IF(payfreq="Semiannually",IF(P296="","",IF(P296="Total",SUM($T$19:T295),Adj_Rate/2*$R296)),IF(payfreq="Quarterly",IF(P296="","",IF(P296="Total",SUM($T$19:T295),Adj_Rate/4*$R296)),IF(payfreq="Monthly",IF(P296="","",IF(P296="Total",SUM($T$19:T295),Adj_Rate/12*$R296)),""))))</f>
        <v>#N/A</v>
      </c>
      <c r="U296" s="37" t="e">
        <f t="shared" ca="1" si="75"/>
        <v>#N/A</v>
      </c>
      <c r="V296" s="44" t="e">
        <f t="shared" ca="1" si="76"/>
        <v>#N/A</v>
      </c>
    </row>
    <row r="297" spans="2:22">
      <c r="B297" s="38">
        <v>278</v>
      </c>
      <c r="C297" s="77" t="e">
        <f t="shared" ca="1" si="77"/>
        <v>#N/A</v>
      </c>
      <c r="D297" s="78" t="e">
        <f ca="1">+IF(AND(B297&lt;$G$7),VLOOKUP($B$1,Inventory!$A$1:$BC$500,35,FALSE),IF(AND(B297=$G$7,pmt_timing="End"),VLOOKUP($B$1,Inventory!$A$1:$BC$500,35,FALSE),0))</f>
        <v>#N/A</v>
      </c>
      <c r="E297" s="78">
        <v>0</v>
      </c>
      <c r="F297" s="78">
        <v>0</v>
      </c>
      <c r="G297" s="78">
        <v>0</v>
      </c>
      <c r="H297" s="78">
        <v>0</v>
      </c>
      <c r="I297" s="78">
        <v>0</v>
      </c>
      <c r="J297" s="78">
        <v>0</v>
      </c>
      <c r="K297" s="78">
        <v>0</v>
      </c>
      <c r="L297" s="36" t="e">
        <f t="shared" ca="1" si="72"/>
        <v>#N/A</v>
      </c>
      <c r="M297" s="37" t="e">
        <f t="shared" ca="1" si="70"/>
        <v>#N/A</v>
      </c>
      <c r="N297" s="37" t="e">
        <f t="shared" ca="1" si="71"/>
        <v>#N/A</v>
      </c>
      <c r="P297" s="35" t="e">
        <f t="shared" ca="1" si="78"/>
        <v>#N/A</v>
      </c>
      <c r="Q297" s="59" t="e">
        <f t="shared" ca="1" si="73"/>
        <v>#N/A</v>
      </c>
      <c r="R297" s="44" t="e">
        <f t="shared" ca="1" si="74"/>
        <v>#N/A</v>
      </c>
      <c r="S297" s="37" t="e">
        <f ca="1">IF(P297="","",IF(P297="Total",SUM($S$19:S296),VLOOKUP($P297,$B$12:$L351,11,FALSE)))</f>
        <v>#N/A</v>
      </c>
      <c r="T297" s="44" t="e">
        <f ca="1">IF(payfreq="Annually",IF(P297="","",IF(P297="Total",SUM($T$19:T296),Adj_Rate*$R297)),IF(payfreq="Semiannually",IF(P297="","",IF(P297="Total",SUM($T$19:T296),Adj_Rate/2*$R297)),IF(payfreq="Quarterly",IF(P297="","",IF(P297="Total",SUM($T$19:T296),Adj_Rate/4*$R297)),IF(payfreq="Monthly",IF(P297="","",IF(P297="Total",SUM($T$19:T296),Adj_Rate/12*$R297)),""))))</f>
        <v>#N/A</v>
      </c>
      <c r="U297" s="37" t="e">
        <f t="shared" ca="1" si="75"/>
        <v>#N/A</v>
      </c>
      <c r="V297" s="44" t="e">
        <f t="shared" ca="1" si="76"/>
        <v>#N/A</v>
      </c>
    </row>
    <row r="298" spans="2:22">
      <c r="B298" s="38">
        <v>279</v>
      </c>
      <c r="C298" s="77" t="e">
        <f t="shared" ca="1" si="77"/>
        <v>#N/A</v>
      </c>
      <c r="D298" s="78" t="e">
        <f ca="1">+IF(AND(B298&lt;$G$7),VLOOKUP($B$1,Inventory!$A$1:$BC$500,35,FALSE),IF(AND(B298=$G$7,pmt_timing="End"),VLOOKUP($B$1,Inventory!$A$1:$BC$500,35,FALSE),0))</f>
        <v>#N/A</v>
      </c>
      <c r="E298" s="78">
        <v>0</v>
      </c>
      <c r="F298" s="78">
        <v>0</v>
      </c>
      <c r="G298" s="78">
        <v>0</v>
      </c>
      <c r="H298" s="78">
        <v>0</v>
      </c>
      <c r="I298" s="78">
        <v>0</v>
      </c>
      <c r="J298" s="78">
        <v>0</v>
      </c>
      <c r="K298" s="78">
        <v>0</v>
      </c>
      <c r="L298" s="36" t="e">
        <f t="shared" ca="1" si="72"/>
        <v>#N/A</v>
      </c>
      <c r="M298" s="37" t="e">
        <f t="shared" ca="1" si="70"/>
        <v>#N/A</v>
      </c>
      <c r="N298" s="37" t="e">
        <f t="shared" ca="1" si="71"/>
        <v>#N/A</v>
      </c>
      <c r="P298" s="35" t="e">
        <f t="shared" ca="1" si="78"/>
        <v>#N/A</v>
      </c>
      <c r="Q298" s="59" t="e">
        <f t="shared" ca="1" si="73"/>
        <v>#N/A</v>
      </c>
      <c r="R298" s="44" t="e">
        <f t="shared" ca="1" si="74"/>
        <v>#N/A</v>
      </c>
      <c r="S298" s="37" t="e">
        <f ca="1">IF(P298="","",IF(P298="Total",SUM($S$19:S297),VLOOKUP($P298,$B$12:$L352,11,FALSE)))</f>
        <v>#N/A</v>
      </c>
      <c r="T298" s="44" t="e">
        <f ca="1">IF(payfreq="Annually",IF(P298="","",IF(P298="Total",SUM($T$19:T297),Adj_Rate*$R298)),IF(payfreq="Semiannually",IF(P298="","",IF(P298="Total",SUM($T$19:T297),Adj_Rate/2*$R298)),IF(payfreq="Quarterly",IF(P298="","",IF(P298="Total",SUM($T$19:T297),Adj_Rate/4*$R298)),IF(payfreq="Monthly",IF(P298="","",IF(P298="Total",SUM($T$19:T297),Adj_Rate/12*$R298)),""))))</f>
        <v>#N/A</v>
      </c>
      <c r="U298" s="37" t="e">
        <f t="shared" ca="1" si="75"/>
        <v>#N/A</v>
      </c>
      <c r="V298" s="44" t="e">
        <f t="shared" ca="1" si="76"/>
        <v>#N/A</v>
      </c>
    </row>
    <row r="299" spans="2:22">
      <c r="B299" s="38">
        <v>280</v>
      </c>
      <c r="C299" s="77" t="e">
        <f t="shared" ca="1" si="77"/>
        <v>#N/A</v>
      </c>
      <c r="D299" s="78" t="e">
        <f ca="1">+IF(AND(B299&lt;$G$7),VLOOKUP($B$1,Inventory!$A$1:$BC$500,35,FALSE),IF(AND(B299=$G$7,pmt_timing="End"),VLOOKUP($B$1,Inventory!$A$1:$BC$500,35,FALSE),0))</f>
        <v>#N/A</v>
      </c>
      <c r="E299" s="78">
        <v>0</v>
      </c>
      <c r="F299" s="78">
        <v>0</v>
      </c>
      <c r="G299" s="78">
        <v>0</v>
      </c>
      <c r="H299" s="78">
        <v>0</v>
      </c>
      <c r="I299" s="78">
        <v>0</v>
      </c>
      <c r="J299" s="78">
        <v>0</v>
      </c>
      <c r="K299" s="78">
        <v>0</v>
      </c>
      <c r="L299" s="36" t="e">
        <f t="shared" ca="1" si="72"/>
        <v>#N/A</v>
      </c>
      <c r="M299" s="37" t="e">
        <f t="shared" ca="1" si="70"/>
        <v>#N/A</v>
      </c>
      <c r="N299" s="37" t="e">
        <f t="shared" ca="1" si="71"/>
        <v>#N/A</v>
      </c>
      <c r="P299" s="35" t="e">
        <f t="shared" ca="1" si="78"/>
        <v>#N/A</v>
      </c>
      <c r="Q299" s="59" t="e">
        <f t="shared" ca="1" si="73"/>
        <v>#N/A</v>
      </c>
      <c r="R299" s="44" t="e">
        <f t="shared" ca="1" si="74"/>
        <v>#N/A</v>
      </c>
      <c r="S299" s="37" t="e">
        <f ca="1">IF(P299="","",IF(P299="Total",SUM($S$19:S298),VLOOKUP($P299,$B$12:$L353,11,FALSE)))</f>
        <v>#N/A</v>
      </c>
      <c r="T299" s="44" t="e">
        <f ca="1">IF(payfreq="Annually",IF(P299="","",IF(P299="Total",SUM($T$19:T298),Adj_Rate*$R299)),IF(payfreq="Semiannually",IF(P299="","",IF(P299="Total",SUM($T$19:T298),Adj_Rate/2*$R299)),IF(payfreq="Quarterly",IF(P299="","",IF(P299="Total",SUM($T$19:T298),Adj_Rate/4*$R299)),IF(payfreq="Monthly",IF(P299="","",IF(P299="Total",SUM($T$19:T298),Adj_Rate/12*$R299)),""))))</f>
        <v>#N/A</v>
      </c>
      <c r="U299" s="37" t="e">
        <f t="shared" ca="1" si="75"/>
        <v>#N/A</v>
      </c>
      <c r="V299" s="44" t="e">
        <f t="shared" ca="1" si="76"/>
        <v>#N/A</v>
      </c>
    </row>
    <row r="300" spans="2:22">
      <c r="B300" s="38">
        <v>281</v>
      </c>
      <c r="C300" s="77" t="e">
        <f t="shared" ca="1" si="77"/>
        <v>#N/A</v>
      </c>
      <c r="D300" s="78" t="e">
        <f ca="1">+IF(AND(B300&lt;$G$7),VLOOKUP($B$1,Inventory!$A$1:$BC$500,35,FALSE),IF(AND(B300=$G$7,pmt_timing="End"),VLOOKUP($B$1,Inventory!$A$1:$BC$500,35,FALSE),0))</f>
        <v>#N/A</v>
      </c>
      <c r="E300" s="78">
        <v>0</v>
      </c>
      <c r="F300" s="78">
        <v>0</v>
      </c>
      <c r="G300" s="78">
        <v>0</v>
      </c>
      <c r="H300" s="78">
        <v>0</v>
      </c>
      <c r="I300" s="78">
        <v>0</v>
      </c>
      <c r="J300" s="78">
        <v>0</v>
      </c>
      <c r="K300" s="78">
        <v>0</v>
      </c>
      <c r="L300" s="36" t="e">
        <f t="shared" ca="1" si="72"/>
        <v>#N/A</v>
      </c>
      <c r="M300" s="37" t="e">
        <f t="shared" ca="1" si="70"/>
        <v>#N/A</v>
      </c>
      <c r="N300" s="37" t="e">
        <f t="shared" ca="1" si="71"/>
        <v>#N/A</v>
      </c>
      <c r="P300" s="35" t="e">
        <f t="shared" ca="1" si="78"/>
        <v>#N/A</v>
      </c>
      <c r="Q300" s="59" t="e">
        <f t="shared" ca="1" si="73"/>
        <v>#N/A</v>
      </c>
      <c r="R300" s="44" t="e">
        <f t="shared" ca="1" si="74"/>
        <v>#N/A</v>
      </c>
      <c r="S300" s="37" t="e">
        <f ca="1">IF(P300="","",IF(P300="Total",SUM($S$19:S299),VLOOKUP($P300,$B$12:$L354,11,FALSE)))</f>
        <v>#N/A</v>
      </c>
      <c r="T300" s="44" t="e">
        <f ca="1">IF(payfreq="Annually",IF(P300="","",IF(P300="Total",SUM($T$19:T299),Adj_Rate*$R300)),IF(payfreq="Semiannually",IF(P300="","",IF(P300="Total",SUM($T$19:T299),Adj_Rate/2*$R300)),IF(payfreq="Quarterly",IF(P300="","",IF(P300="Total",SUM($T$19:T299),Adj_Rate/4*$R300)),IF(payfreq="Monthly",IF(P300="","",IF(P300="Total",SUM($T$19:T299),Adj_Rate/12*$R300)),""))))</f>
        <v>#N/A</v>
      </c>
      <c r="U300" s="37" t="e">
        <f t="shared" ca="1" si="75"/>
        <v>#N/A</v>
      </c>
      <c r="V300" s="44" t="e">
        <f t="shared" ca="1" si="76"/>
        <v>#N/A</v>
      </c>
    </row>
    <row r="301" spans="2:22">
      <c r="B301" s="38">
        <v>282</v>
      </c>
      <c r="C301" s="77" t="e">
        <f t="shared" ca="1" si="77"/>
        <v>#N/A</v>
      </c>
      <c r="D301" s="78" t="e">
        <f ca="1">+IF(AND(B301&lt;$G$7),VLOOKUP($B$1,Inventory!$A$1:$BC$500,35,FALSE),IF(AND(B301=$G$7,pmt_timing="End"),VLOOKUP($B$1,Inventory!$A$1:$BC$500,35,FALSE),0))</f>
        <v>#N/A</v>
      </c>
      <c r="E301" s="78">
        <v>0</v>
      </c>
      <c r="F301" s="78">
        <v>0</v>
      </c>
      <c r="G301" s="78">
        <v>0</v>
      </c>
      <c r="H301" s="78">
        <v>0</v>
      </c>
      <c r="I301" s="78">
        <v>0</v>
      </c>
      <c r="J301" s="78">
        <v>0</v>
      </c>
      <c r="K301" s="78">
        <v>0</v>
      </c>
      <c r="L301" s="36" t="e">
        <f t="shared" ca="1" si="72"/>
        <v>#N/A</v>
      </c>
      <c r="M301" s="37" t="e">
        <f t="shared" ca="1" si="70"/>
        <v>#N/A</v>
      </c>
      <c r="N301" s="37" t="e">
        <f t="shared" ca="1" si="71"/>
        <v>#N/A</v>
      </c>
      <c r="P301" s="35" t="e">
        <f t="shared" ca="1" si="78"/>
        <v>#N/A</v>
      </c>
      <c r="Q301" s="59" t="e">
        <f t="shared" ca="1" si="73"/>
        <v>#N/A</v>
      </c>
      <c r="R301" s="44" t="e">
        <f t="shared" ca="1" si="74"/>
        <v>#N/A</v>
      </c>
      <c r="S301" s="37" t="e">
        <f ca="1">IF(P301="","",IF(P301="Total",SUM($S$19:S300),VLOOKUP($P301,$B$12:$L355,11,FALSE)))</f>
        <v>#N/A</v>
      </c>
      <c r="T301" s="44" t="e">
        <f ca="1">IF(payfreq="Annually",IF(P301="","",IF(P301="Total",SUM($T$19:T300),Adj_Rate*$R301)),IF(payfreq="Semiannually",IF(P301="","",IF(P301="Total",SUM($T$19:T300),Adj_Rate/2*$R301)),IF(payfreq="Quarterly",IF(P301="","",IF(P301="Total",SUM($T$19:T300),Adj_Rate/4*$R301)),IF(payfreq="Monthly",IF(P301="","",IF(P301="Total",SUM($T$19:T300),Adj_Rate/12*$R301)),""))))</f>
        <v>#N/A</v>
      </c>
      <c r="U301" s="37" t="e">
        <f t="shared" ca="1" si="75"/>
        <v>#N/A</v>
      </c>
      <c r="V301" s="44" t="e">
        <f t="shared" ca="1" si="76"/>
        <v>#N/A</v>
      </c>
    </row>
    <row r="302" spans="2:22">
      <c r="B302" s="38">
        <v>283</v>
      </c>
      <c r="C302" s="77" t="e">
        <f t="shared" ca="1" si="77"/>
        <v>#N/A</v>
      </c>
      <c r="D302" s="78" t="e">
        <f ca="1">+IF(AND(B302&lt;$G$7),VLOOKUP($B$1,Inventory!$A$1:$BC$500,35,FALSE),IF(AND(B302=$G$7,pmt_timing="End"),VLOOKUP($B$1,Inventory!$A$1:$BC$500,35,FALSE),0))</f>
        <v>#N/A</v>
      </c>
      <c r="E302" s="78">
        <v>0</v>
      </c>
      <c r="F302" s="78">
        <v>0</v>
      </c>
      <c r="G302" s="78">
        <v>0</v>
      </c>
      <c r="H302" s="78">
        <v>0</v>
      </c>
      <c r="I302" s="78">
        <v>0</v>
      </c>
      <c r="J302" s="78">
        <v>0</v>
      </c>
      <c r="K302" s="78">
        <v>0</v>
      </c>
      <c r="L302" s="36" t="e">
        <f t="shared" ca="1" si="72"/>
        <v>#N/A</v>
      </c>
      <c r="M302" s="37" t="e">
        <f t="shared" ca="1" si="70"/>
        <v>#N/A</v>
      </c>
      <c r="N302" s="37" t="e">
        <f t="shared" ca="1" si="71"/>
        <v>#N/A</v>
      </c>
      <c r="P302" s="35" t="e">
        <f t="shared" ca="1" si="78"/>
        <v>#N/A</v>
      </c>
      <c r="Q302" s="59" t="e">
        <f t="shared" ca="1" si="73"/>
        <v>#N/A</v>
      </c>
      <c r="R302" s="44" t="e">
        <f t="shared" ca="1" si="74"/>
        <v>#N/A</v>
      </c>
      <c r="S302" s="37" t="e">
        <f ca="1">IF(P302="","",IF(P302="Total",SUM($S$19:S301),VLOOKUP($P302,$B$12:$L356,11,FALSE)))</f>
        <v>#N/A</v>
      </c>
      <c r="T302" s="44" t="e">
        <f ca="1">IF(payfreq="Annually",IF(P302="","",IF(P302="Total",SUM($T$19:T301),Adj_Rate*$R302)),IF(payfreq="Semiannually",IF(P302="","",IF(P302="Total",SUM($T$19:T301),Adj_Rate/2*$R302)),IF(payfreq="Quarterly",IF(P302="","",IF(P302="Total",SUM($T$19:T301),Adj_Rate/4*$R302)),IF(payfreq="Monthly",IF(P302="","",IF(P302="Total",SUM($T$19:T301),Adj_Rate/12*$R302)),""))))</f>
        <v>#N/A</v>
      </c>
      <c r="U302" s="37" t="e">
        <f t="shared" ca="1" si="75"/>
        <v>#N/A</v>
      </c>
      <c r="V302" s="44" t="e">
        <f t="shared" ca="1" si="76"/>
        <v>#N/A</v>
      </c>
    </row>
    <row r="303" spans="2:22">
      <c r="B303" s="38">
        <v>284</v>
      </c>
      <c r="C303" s="77" t="e">
        <f t="shared" ca="1" si="77"/>
        <v>#N/A</v>
      </c>
      <c r="D303" s="78" t="e">
        <f ca="1">+IF(AND(B303&lt;$G$7),VLOOKUP($B$1,Inventory!$A$1:$BC$500,35,FALSE),IF(AND(B303=$G$7,pmt_timing="End"),VLOOKUP($B$1,Inventory!$A$1:$BC$500,35,FALSE),0))</f>
        <v>#N/A</v>
      </c>
      <c r="E303" s="78">
        <v>0</v>
      </c>
      <c r="F303" s="78">
        <v>0</v>
      </c>
      <c r="G303" s="78">
        <v>0</v>
      </c>
      <c r="H303" s="78">
        <v>0</v>
      </c>
      <c r="I303" s="78">
        <v>0</v>
      </c>
      <c r="J303" s="78">
        <v>0</v>
      </c>
      <c r="K303" s="78">
        <v>0</v>
      </c>
      <c r="L303" s="36" t="e">
        <f t="shared" ca="1" si="72"/>
        <v>#N/A</v>
      </c>
      <c r="M303" s="37" t="e">
        <f t="shared" ca="1" si="70"/>
        <v>#N/A</v>
      </c>
      <c r="N303" s="37" t="e">
        <f t="shared" ca="1" si="71"/>
        <v>#N/A</v>
      </c>
      <c r="P303" s="35" t="e">
        <f t="shared" ca="1" si="78"/>
        <v>#N/A</v>
      </c>
      <c r="Q303" s="59" t="e">
        <f t="shared" ca="1" si="73"/>
        <v>#N/A</v>
      </c>
      <c r="R303" s="44" t="e">
        <f t="shared" ca="1" si="74"/>
        <v>#N/A</v>
      </c>
      <c r="S303" s="37" t="e">
        <f ca="1">IF(P303="","",IF(P303="Total",SUM($S$19:S302),VLOOKUP($P303,$B$12:$L357,11,FALSE)))</f>
        <v>#N/A</v>
      </c>
      <c r="T303" s="44" t="e">
        <f ca="1">IF(payfreq="Annually",IF(P303="","",IF(P303="Total",SUM($T$19:T302),Adj_Rate*$R303)),IF(payfreq="Semiannually",IF(P303="","",IF(P303="Total",SUM($T$19:T302),Adj_Rate/2*$R303)),IF(payfreq="Quarterly",IF(P303="","",IF(P303="Total",SUM($T$19:T302),Adj_Rate/4*$R303)),IF(payfreq="Monthly",IF(P303="","",IF(P303="Total",SUM($T$19:T302),Adj_Rate/12*$R303)),""))))</f>
        <v>#N/A</v>
      </c>
      <c r="U303" s="37" t="e">
        <f t="shared" ca="1" si="75"/>
        <v>#N/A</v>
      </c>
      <c r="V303" s="44" t="e">
        <f t="shared" ca="1" si="76"/>
        <v>#N/A</v>
      </c>
    </row>
    <row r="304" spans="2:22">
      <c r="B304" s="38">
        <v>285</v>
      </c>
      <c r="C304" s="77" t="e">
        <f t="shared" ca="1" si="77"/>
        <v>#N/A</v>
      </c>
      <c r="D304" s="78" t="e">
        <f ca="1">+IF(AND(B304&lt;$G$7),VLOOKUP($B$1,Inventory!$A$1:$BC$500,35,FALSE),IF(AND(B304=$G$7,pmt_timing="End"),VLOOKUP($B$1,Inventory!$A$1:$BC$500,35,FALSE),0))</f>
        <v>#N/A</v>
      </c>
      <c r="E304" s="78">
        <v>0</v>
      </c>
      <c r="F304" s="78">
        <v>0</v>
      </c>
      <c r="G304" s="78">
        <v>0</v>
      </c>
      <c r="H304" s="78">
        <v>0</v>
      </c>
      <c r="I304" s="78">
        <v>0</v>
      </c>
      <c r="J304" s="78">
        <v>0</v>
      </c>
      <c r="K304" s="78">
        <v>0</v>
      </c>
      <c r="L304" s="36" t="e">
        <f t="shared" ca="1" si="72"/>
        <v>#N/A</v>
      </c>
      <c r="M304" s="37" t="e">
        <f t="shared" ca="1" si="70"/>
        <v>#N/A</v>
      </c>
      <c r="N304" s="37" t="e">
        <f t="shared" ca="1" si="71"/>
        <v>#N/A</v>
      </c>
      <c r="P304" s="35" t="e">
        <f t="shared" ca="1" si="78"/>
        <v>#N/A</v>
      </c>
      <c r="Q304" s="59" t="e">
        <f t="shared" ca="1" si="73"/>
        <v>#N/A</v>
      </c>
      <c r="R304" s="44" t="e">
        <f t="shared" ca="1" si="74"/>
        <v>#N/A</v>
      </c>
      <c r="S304" s="37" t="e">
        <f ca="1">IF(P304="","",IF(P304="Total",SUM($S$19:S303),VLOOKUP($P304,$B$12:$L358,11,FALSE)))</f>
        <v>#N/A</v>
      </c>
      <c r="T304" s="44" t="e">
        <f ca="1">IF(payfreq="Annually",IF(P304="","",IF(P304="Total",SUM($T$19:T303),Adj_Rate*$R304)),IF(payfreq="Semiannually",IF(P304="","",IF(P304="Total",SUM($T$19:T303),Adj_Rate/2*$R304)),IF(payfreq="Quarterly",IF(P304="","",IF(P304="Total",SUM($T$19:T303),Adj_Rate/4*$R304)),IF(payfreq="Monthly",IF(P304="","",IF(P304="Total",SUM($T$19:T303),Adj_Rate/12*$R304)),""))))</f>
        <v>#N/A</v>
      </c>
      <c r="U304" s="37" t="e">
        <f t="shared" ca="1" si="75"/>
        <v>#N/A</v>
      </c>
      <c r="V304" s="44" t="e">
        <f t="shared" ca="1" si="76"/>
        <v>#N/A</v>
      </c>
    </row>
    <row r="305" spans="2:22">
      <c r="B305" s="38">
        <v>286</v>
      </c>
      <c r="C305" s="77" t="e">
        <f t="shared" ca="1" si="77"/>
        <v>#N/A</v>
      </c>
      <c r="D305" s="78" t="e">
        <f ca="1">+IF(AND(B305&lt;$G$7),VLOOKUP($B$1,Inventory!$A$1:$BC$500,35,FALSE),IF(AND(B305=$G$7,pmt_timing="End"),VLOOKUP($B$1,Inventory!$A$1:$BC$500,35,FALSE),0))</f>
        <v>#N/A</v>
      </c>
      <c r="E305" s="78">
        <v>0</v>
      </c>
      <c r="F305" s="78">
        <v>0</v>
      </c>
      <c r="G305" s="78">
        <v>0</v>
      </c>
      <c r="H305" s="78">
        <v>0</v>
      </c>
      <c r="I305" s="78">
        <v>0</v>
      </c>
      <c r="J305" s="78">
        <v>0</v>
      </c>
      <c r="K305" s="78">
        <v>0</v>
      </c>
      <c r="L305" s="36" t="e">
        <f t="shared" ca="1" si="72"/>
        <v>#N/A</v>
      </c>
      <c r="M305" s="37" t="e">
        <f t="shared" ca="1" si="70"/>
        <v>#N/A</v>
      </c>
      <c r="N305" s="37" t="e">
        <f t="shared" ca="1" si="71"/>
        <v>#N/A</v>
      </c>
      <c r="P305" s="35" t="e">
        <f t="shared" ca="1" si="78"/>
        <v>#N/A</v>
      </c>
      <c r="Q305" s="59" t="e">
        <f t="shared" ca="1" si="73"/>
        <v>#N/A</v>
      </c>
      <c r="R305" s="44" t="e">
        <f t="shared" ca="1" si="74"/>
        <v>#N/A</v>
      </c>
      <c r="S305" s="37" t="e">
        <f ca="1">IF(P305="","",IF(P305="Total",SUM($S$19:S304),VLOOKUP($P305,$B$12:$L359,11,FALSE)))</f>
        <v>#N/A</v>
      </c>
      <c r="T305" s="44" t="e">
        <f ca="1">IF(payfreq="Annually",IF(P305="","",IF(P305="Total",SUM($T$19:T304),Adj_Rate*$R305)),IF(payfreq="Semiannually",IF(P305="","",IF(P305="Total",SUM($T$19:T304),Adj_Rate/2*$R305)),IF(payfreq="Quarterly",IF(P305="","",IF(P305="Total",SUM($T$19:T304),Adj_Rate/4*$R305)),IF(payfreq="Monthly",IF(P305="","",IF(P305="Total",SUM($T$19:T304),Adj_Rate/12*$R305)),""))))</f>
        <v>#N/A</v>
      </c>
      <c r="U305" s="37" t="e">
        <f t="shared" ca="1" si="75"/>
        <v>#N/A</v>
      </c>
      <c r="V305" s="44" t="e">
        <f t="shared" ca="1" si="76"/>
        <v>#N/A</v>
      </c>
    </row>
    <row r="306" spans="2:22">
      <c r="B306" s="38">
        <v>287</v>
      </c>
      <c r="C306" s="77" t="e">
        <f t="shared" ca="1" si="77"/>
        <v>#N/A</v>
      </c>
      <c r="D306" s="78" t="e">
        <f ca="1">+IF(AND(B306&lt;$G$7),VLOOKUP($B$1,Inventory!$A$1:$BC$500,35,FALSE),IF(AND(B306=$G$7,pmt_timing="End"),VLOOKUP($B$1,Inventory!$A$1:$BC$500,35,FALSE),0))</f>
        <v>#N/A</v>
      </c>
      <c r="E306" s="78">
        <v>0</v>
      </c>
      <c r="F306" s="78">
        <v>0</v>
      </c>
      <c r="G306" s="78">
        <v>0</v>
      </c>
      <c r="H306" s="78">
        <v>0</v>
      </c>
      <c r="I306" s="78">
        <v>0</v>
      </c>
      <c r="J306" s="78">
        <v>0</v>
      </c>
      <c r="K306" s="78">
        <v>0</v>
      </c>
      <c r="L306" s="36" t="e">
        <f t="shared" ca="1" si="72"/>
        <v>#N/A</v>
      </c>
      <c r="M306" s="37" t="e">
        <f t="shared" ca="1" si="70"/>
        <v>#N/A</v>
      </c>
      <c r="N306" s="37" t="e">
        <f t="shared" ca="1" si="71"/>
        <v>#N/A</v>
      </c>
      <c r="P306" s="35" t="e">
        <f t="shared" ca="1" si="78"/>
        <v>#N/A</v>
      </c>
      <c r="Q306" s="59" t="e">
        <f t="shared" ca="1" si="73"/>
        <v>#N/A</v>
      </c>
      <c r="R306" s="44" t="e">
        <f t="shared" ca="1" si="74"/>
        <v>#N/A</v>
      </c>
      <c r="S306" s="37" t="e">
        <f ca="1">IF(P306="","",IF(P306="Total",SUM($S$19:S305),VLOOKUP($P306,$B$12:$L360,11,FALSE)))</f>
        <v>#N/A</v>
      </c>
      <c r="T306" s="44" t="e">
        <f ca="1">IF(payfreq="Annually",IF(P306="","",IF(P306="Total",SUM($T$19:T305),Adj_Rate*$R306)),IF(payfreq="Semiannually",IF(P306="","",IF(P306="Total",SUM($T$19:T305),Adj_Rate/2*$R306)),IF(payfreq="Quarterly",IF(P306="","",IF(P306="Total",SUM($T$19:T305),Adj_Rate/4*$R306)),IF(payfreq="Monthly",IF(P306="","",IF(P306="Total",SUM($T$19:T305),Adj_Rate/12*$R306)),""))))</f>
        <v>#N/A</v>
      </c>
      <c r="U306" s="37" t="e">
        <f t="shared" ca="1" si="75"/>
        <v>#N/A</v>
      </c>
      <c r="V306" s="44" t="e">
        <f t="shared" ca="1" si="76"/>
        <v>#N/A</v>
      </c>
    </row>
    <row r="307" spans="2:22">
      <c r="B307" s="38">
        <v>288</v>
      </c>
      <c r="C307" s="77" t="e">
        <f t="shared" ca="1" si="77"/>
        <v>#N/A</v>
      </c>
      <c r="D307" s="78" t="e">
        <f ca="1">+IF(AND(B307&lt;$G$7),VLOOKUP($B$1,Inventory!$A$1:$BC$500,35,FALSE),IF(AND(B307=$G$7,pmt_timing="End"),VLOOKUP($B$1,Inventory!$A$1:$BC$500,35,FALSE),0))</f>
        <v>#N/A</v>
      </c>
      <c r="E307" s="78">
        <v>0</v>
      </c>
      <c r="F307" s="78">
        <v>0</v>
      </c>
      <c r="G307" s="78">
        <v>0</v>
      </c>
      <c r="H307" s="78">
        <v>0</v>
      </c>
      <c r="I307" s="78">
        <v>0</v>
      </c>
      <c r="J307" s="78">
        <v>0</v>
      </c>
      <c r="K307" s="78">
        <v>0</v>
      </c>
      <c r="L307" s="36" t="e">
        <f t="shared" ca="1" si="72"/>
        <v>#N/A</v>
      </c>
      <c r="M307" s="37" t="e">
        <f t="shared" ca="1" si="70"/>
        <v>#N/A</v>
      </c>
      <c r="N307" s="37" t="e">
        <f t="shared" ca="1" si="71"/>
        <v>#N/A</v>
      </c>
      <c r="P307" s="35" t="e">
        <f t="shared" ca="1" si="78"/>
        <v>#N/A</v>
      </c>
      <c r="Q307" s="59" t="e">
        <f t="shared" ca="1" si="73"/>
        <v>#N/A</v>
      </c>
      <c r="R307" s="44" t="e">
        <f t="shared" ca="1" si="74"/>
        <v>#N/A</v>
      </c>
      <c r="S307" s="37" t="e">
        <f ca="1">IF(P307="","",IF(P307="Total",SUM($S$19:S306),VLOOKUP($P307,$B$12:$L361,11,FALSE)))</f>
        <v>#N/A</v>
      </c>
      <c r="T307" s="44" t="e">
        <f ca="1">IF(payfreq="Annually",IF(P307="","",IF(P307="Total",SUM($T$19:T306),Adj_Rate*$R307)),IF(payfreq="Semiannually",IF(P307="","",IF(P307="Total",SUM($T$19:T306),Adj_Rate/2*$R307)),IF(payfreq="Quarterly",IF(P307="","",IF(P307="Total",SUM($T$19:T306),Adj_Rate/4*$R307)),IF(payfreq="Monthly",IF(P307="","",IF(P307="Total",SUM($T$19:T306),Adj_Rate/12*$R307)),""))))</f>
        <v>#N/A</v>
      </c>
      <c r="U307" s="37" t="e">
        <f t="shared" ca="1" si="75"/>
        <v>#N/A</v>
      </c>
      <c r="V307" s="44" t="e">
        <f t="shared" ca="1" si="76"/>
        <v>#N/A</v>
      </c>
    </row>
    <row r="308" spans="2:22">
      <c r="B308" s="38">
        <v>289</v>
      </c>
      <c r="C308" s="77" t="e">
        <f t="shared" ca="1" si="77"/>
        <v>#N/A</v>
      </c>
      <c r="D308" s="78" t="e">
        <f ca="1">+IF(AND(B308&lt;$G$7),VLOOKUP($B$1,Inventory!$A$1:$BC$500,35,FALSE),IF(AND(B308=$G$7,pmt_timing="End"),VLOOKUP($B$1,Inventory!$A$1:$BC$500,35,FALSE),0))</f>
        <v>#N/A</v>
      </c>
      <c r="E308" s="78">
        <v>0</v>
      </c>
      <c r="F308" s="78">
        <v>0</v>
      </c>
      <c r="G308" s="78">
        <v>0</v>
      </c>
      <c r="H308" s="78">
        <v>0</v>
      </c>
      <c r="I308" s="78">
        <v>0</v>
      </c>
      <c r="J308" s="78">
        <v>0</v>
      </c>
      <c r="K308" s="78">
        <v>0</v>
      </c>
      <c r="L308" s="36" t="e">
        <f t="shared" ca="1" si="72"/>
        <v>#N/A</v>
      </c>
      <c r="M308" s="37" t="e">
        <f t="shared" ca="1" si="70"/>
        <v>#N/A</v>
      </c>
      <c r="N308" s="37" t="e">
        <f t="shared" ca="1" si="71"/>
        <v>#N/A</v>
      </c>
      <c r="P308" s="35" t="e">
        <f t="shared" ca="1" si="78"/>
        <v>#N/A</v>
      </c>
      <c r="Q308" s="59" t="e">
        <f t="shared" ca="1" si="73"/>
        <v>#N/A</v>
      </c>
      <c r="R308" s="44" t="e">
        <f t="shared" ca="1" si="74"/>
        <v>#N/A</v>
      </c>
      <c r="S308" s="37" t="e">
        <f ca="1">IF(P308="","",IF(P308="Total",SUM($S$19:S307),VLOOKUP($P308,$B$12:$L362,11,FALSE)))</f>
        <v>#N/A</v>
      </c>
      <c r="T308" s="44" t="e">
        <f ca="1">IF(payfreq="Annually",IF(P308="","",IF(P308="Total",SUM($T$19:T307),Adj_Rate*$R308)),IF(payfreq="Semiannually",IF(P308="","",IF(P308="Total",SUM($T$19:T307),Adj_Rate/2*$R308)),IF(payfreq="Quarterly",IF(P308="","",IF(P308="Total",SUM($T$19:T307),Adj_Rate/4*$R308)),IF(payfreq="Monthly",IF(P308="","",IF(P308="Total",SUM($T$19:T307),Adj_Rate/12*$R308)),""))))</f>
        <v>#N/A</v>
      </c>
      <c r="U308" s="37" t="e">
        <f t="shared" ca="1" si="75"/>
        <v>#N/A</v>
      </c>
      <c r="V308" s="44" t="e">
        <f t="shared" ca="1" si="76"/>
        <v>#N/A</v>
      </c>
    </row>
    <row r="309" spans="2:22">
      <c r="B309" s="38">
        <v>290</v>
      </c>
      <c r="C309" s="77" t="e">
        <f t="shared" ca="1" si="77"/>
        <v>#N/A</v>
      </c>
      <c r="D309" s="78" t="e">
        <f ca="1">+IF(AND(B309&lt;$G$7),VLOOKUP($B$1,Inventory!$A$1:$BC$500,35,FALSE),IF(AND(B309=$G$7,pmt_timing="End"),VLOOKUP($B$1,Inventory!$A$1:$BC$500,35,FALSE),0))</f>
        <v>#N/A</v>
      </c>
      <c r="E309" s="78">
        <v>0</v>
      </c>
      <c r="F309" s="78">
        <v>0</v>
      </c>
      <c r="G309" s="78">
        <v>0</v>
      </c>
      <c r="H309" s="78">
        <v>0</v>
      </c>
      <c r="I309" s="78">
        <v>0</v>
      </c>
      <c r="J309" s="78">
        <v>0</v>
      </c>
      <c r="K309" s="78">
        <v>0</v>
      </c>
      <c r="L309" s="36" t="e">
        <f t="shared" ca="1" si="72"/>
        <v>#N/A</v>
      </c>
      <c r="M309" s="37" t="e">
        <f t="shared" ca="1" si="70"/>
        <v>#N/A</v>
      </c>
      <c r="N309" s="37" t="e">
        <f t="shared" ca="1" si="71"/>
        <v>#N/A</v>
      </c>
      <c r="P309" s="35" t="e">
        <f t="shared" ca="1" si="78"/>
        <v>#N/A</v>
      </c>
      <c r="Q309" s="59" t="e">
        <f t="shared" ca="1" si="73"/>
        <v>#N/A</v>
      </c>
      <c r="R309" s="44" t="e">
        <f t="shared" ca="1" si="74"/>
        <v>#N/A</v>
      </c>
      <c r="S309" s="37" t="e">
        <f ca="1">IF(P309="","",IF(P309="Total",SUM($S$19:S308),VLOOKUP($P309,$B$12:$L363,11,FALSE)))</f>
        <v>#N/A</v>
      </c>
      <c r="T309" s="44" t="e">
        <f ca="1">IF(payfreq="Annually",IF(P309="","",IF(P309="Total",SUM($T$19:T308),Adj_Rate*$R309)),IF(payfreq="Semiannually",IF(P309="","",IF(P309="Total",SUM($T$19:T308),Adj_Rate/2*$R309)),IF(payfreq="Quarterly",IF(P309="","",IF(P309="Total",SUM($T$19:T308),Adj_Rate/4*$R309)),IF(payfreq="Monthly",IF(P309="","",IF(P309="Total",SUM($T$19:T308),Adj_Rate/12*$R309)),""))))</f>
        <v>#N/A</v>
      </c>
      <c r="U309" s="37" t="e">
        <f t="shared" ca="1" si="75"/>
        <v>#N/A</v>
      </c>
      <c r="V309" s="44" t="e">
        <f t="shared" ca="1" si="76"/>
        <v>#N/A</v>
      </c>
    </row>
    <row r="310" spans="2:22">
      <c r="B310" s="38">
        <v>291</v>
      </c>
      <c r="C310" s="77" t="e">
        <f t="shared" ca="1" si="77"/>
        <v>#N/A</v>
      </c>
      <c r="D310" s="78" t="e">
        <f ca="1">+IF(AND(B310&lt;$G$7),VLOOKUP($B$1,Inventory!$A$1:$BC$500,35,FALSE),IF(AND(B310=$G$7,pmt_timing="End"),VLOOKUP($B$1,Inventory!$A$1:$BC$500,35,FALSE),0))</f>
        <v>#N/A</v>
      </c>
      <c r="E310" s="78">
        <v>0</v>
      </c>
      <c r="F310" s="78">
        <v>0</v>
      </c>
      <c r="G310" s="78">
        <v>0</v>
      </c>
      <c r="H310" s="78">
        <v>0</v>
      </c>
      <c r="I310" s="78">
        <v>0</v>
      </c>
      <c r="J310" s="78">
        <v>0</v>
      </c>
      <c r="K310" s="78">
        <v>0</v>
      </c>
      <c r="L310" s="36" t="e">
        <f t="shared" ca="1" si="72"/>
        <v>#N/A</v>
      </c>
      <c r="M310" s="37" t="e">
        <f t="shared" ca="1" si="70"/>
        <v>#N/A</v>
      </c>
      <c r="N310" s="37" t="e">
        <f t="shared" ca="1" si="71"/>
        <v>#N/A</v>
      </c>
      <c r="P310" s="35" t="e">
        <f t="shared" ca="1" si="78"/>
        <v>#N/A</v>
      </c>
      <c r="Q310" s="59" t="e">
        <f t="shared" ca="1" si="73"/>
        <v>#N/A</v>
      </c>
      <c r="R310" s="44" t="e">
        <f t="shared" ca="1" si="74"/>
        <v>#N/A</v>
      </c>
      <c r="S310" s="37" t="e">
        <f ca="1">IF(P310="","",IF(P310="Total",SUM($S$19:S309),VLOOKUP($P310,$B$12:$L364,11,FALSE)))</f>
        <v>#N/A</v>
      </c>
      <c r="T310" s="44" t="e">
        <f ca="1">IF(payfreq="Annually",IF(P310="","",IF(P310="Total",SUM($T$19:T309),Adj_Rate*$R310)),IF(payfreq="Semiannually",IF(P310="","",IF(P310="Total",SUM($T$19:T309),Adj_Rate/2*$R310)),IF(payfreq="Quarterly",IF(P310="","",IF(P310="Total",SUM($T$19:T309),Adj_Rate/4*$R310)),IF(payfreq="Monthly",IF(P310="","",IF(P310="Total",SUM($T$19:T309),Adj_Rate/12*$R310)),""))))</f>
        <v>#N/A</v>
      </c>
      <c r="U310" s="37" t="e">
        <f t="shared" ca="1" si="75"/>
        <v>#N/A</v>
      </c>
      <c r="V310" s="44" t="e">
        <f t="shared" ca="1" si="76"/>
        <v>#N/A</v>
      </c>
    </row>
    <row r="311" spans="2:22">
      <c r="B311" s="38">
        <v>292</v>
      </c>
      <c r="C311" s="77" t="e">
        <f t="shared" ca="1" si="77"/>
        <v>#N/A</v>
      </c>
      <c r="D311" s="78" t="e">
        <f ca="1">+IF(AND(B311&lt;$G$7),VLOOKUP($B$1,Inventory!$A$1:$BC$500,35,FALSE),IF(AND(B311=$G$7,pmt_timing="End"),VLOOKUP($B$1,Inventory!$A$1:$BC$500,35,FALSE),0))</f>
        <v>#N/A</v>
      </c>
      <c r="E311" s="78">
        <v>0</v>
      </c>
      <c r="F311" s="78">
        <v>0</v>
      </c>
      <c r="G311" s="78">
        <v>0</v>
      </c>
      <c r="H311" s="78">
        <v>0</v>
      </c>
      <c r="I311" s="78">
        <v>0</v>
      </c>
      <c r="J311" s="78">
        <v>0</v>
      </c>
      <c r="K311" s="78">
        <v>0</v>
      </c>
      <c r="L311" s="36" t="e">
        <f t="shared" ca="1" si="72"/>
        <v>#N/A</v>
      </c>
      <c r="M311" s="37" t="e">
        <f t="shared" ca="1" si="70"/>
        <v>#N/A</v>
      </c>
      <c r="N311" s="37" t="e">
        <f t="shared" ca="1" si="71"/>
        <v>#N/A</v>
      </c>
      <c r="P311" s="35" t="e">
        <f t="shared" ca="1" si="78"/>
        <v>#N/A</v>
      </c>
      <c r="Q311" s="59" t="e">
        <f t="shared" ca="1" si="73"/>
        <v>#N/A</v>
      </c>
      <c r="R311" s="44" t="e">
        <f t="shared" ca="1" si="74"/>
        <v>#N/A</v>
      </c>
      <c r="S311" s="37" t="e">
        <f ca="1">IF(P311="","",IF(P311="Total",SUM($S$19:S310),VLOOKUP($P311,$B$12:$L365,11,FALSE)))</f>
        <v>#N/A</v>
      </c>
      <c r="T311" s="44" t="e">
        <f ca="1">IF(payfreq="Annually",IF(P311="","",IF(P311="Total",SUM($T$19:T310),Adj_Rate*$R311)),IF(payfreq="Semiannually",IF(P311="","",IF(P311="Total",SUM($T$19:T310),Adj_Rate/2*$R311)),IF(payfreq="Quarterly",IF(P311="","",IF(P311="Total",SUM($T$19:T310),Adj_Rate/4*$R311)),IF(payfreq="Monthly",IF(P311="","",IF(P311="Total",SUM($T$19:T310),Adj_Rate/12*$R311)),""))))</f>
        <v>#N/A</v>
      </c>
      <c r="U311" s="37" t="e">
        <f t="shared" ca="1" si="75"/>
        <v>#N/A</v>
      </c>
      <c r="V311" s="44" t="e">
        <f t="shared" ca="1" si="76"/>
        <v>#N/A</v>
      </c>
    </row>
    <row r="312" spans="2:22">
      <c r="B312" s="38">
        <v>293</v>
      </c>
      <c r="C312" s="77" t="e">
        <f t="shared" ca="1" si="77"/>
        <v>#N/A</v>
      </c>
      <c r="D312" s="78" t="e">
        <f ca="1">+IF(AND(B312&lt;$G$7),VLOOKUP($B$1,Inventory!$A$1:$BC$500,35,FALSE),IF(AND(B312=$G$7,pmt_timing="End"),VLOOKUP($B$1,Inventory!$A$1:$BC$500,35,FALSE),0))</f>
        <v>#N/A</v>
      </c>
      <c r="E312" s="78">
        <v>0</v>
      </c>
      <c r="F312" s="78">
        <v>0</v>
      </c>
      <c r="G312" s="78">
        <v>0</v>
      </c>
      <c r="H312" s="78">
        <v>0</v>
      </c>
      <c r="I312" s="78">
        <v>0</v>
      </c>
      <c r="J312" s="78">
        <v>0</v>
      </c>
      <c r="K312" s="78">
        <v>0</v>
      </c>
      <c r="L312" s="36" t="e">
        <f t="shared" ca="1" si="72"/>
        <v>#N/A</v>
      </c>
      <c r="M312" s="37" t="e">
        <f t="shared" ca="1" si="70"/>
        <v>#N/A</v>
      </c>
      <c r="N312" s="37" t="e">
        <f t="shared" ca="1" si="71"/>
        <v>#N/A</v>
      </c>
      <c r="P312" s="35" t="e">
        <f t="shared" ca="1" si="78"/>
        <v>#N/A</v>
      </c>
      <c r="Q312" s="59" t="e">
        <f t="shared" ca="1" si="73"/>
        <v>#N/A</v>
      </c>
      <c r="R312" s="44" t="e">
        <f t="shared" ca="1" si="74"/>
        <v>#N/A</v>
      </c>
      <c r="S312" s="37" t="e">
        <f ca="1">IF(P312="","",IF(P312="Total",SUM($S$19:S311),VLOOKUP($P312,$B$12:$L366,11,FALSE)))</f>
        <v>#N/A</v>
      </c>
      <c r="T312" s="44" t="e">
        <f ca="1">IF(payfreq="Annually",IF(P312="","",IF(P312="Total",SUM($T$19:T311),Adj_Rate*$R312)),IF(payfreq="Semiannually",IF(P312="","",IF(P312="Total",SUM($T$19:T311),Adj_Rate/2*$R312)),IF(payfreq="Quarterly",IF(P312="","",IF(P312="Total",SUM($T$19:T311),Adj_Rate/4*$R312)),IF(payfreq="Monthly",IF(P312="","",IF(P312="Total",SUM($T$19:T311),Adj_Rate/12*$R312)),""))))</f>
        <v>#N/A</v>
      </c>
      <c r="U312" s="37" t="e">
        <f t="shared" ca="1" si="75"/>
        <v>#N/A</v>
      </c>
      <c r="V312" s="44" t="e">
        <f t="shared" ca="1" si="76"/>
        <v>#N/A</v>
      </c>
    </row>
    <row r="313" spans="2:22">
      <c r="B313" s="38">
        <v>294</v>
      </c>
      <c r="C313" s="77" t="e">
        <f t="shared" ca="1" si="77"/>
        <v>#N/A</v>
      </c>
      <c r="D313" s="78" t="e">
        <f ca="1">+IF(AND(B313&lt;$G$7),VLOOKUP($B$1,Inventory!$A$1:$BC$500,35,FALSE),IF(AND(B313=$G$7,pmt_timing="End"),VLOOKUP($B$1,Inventory!$A$1:$BC$500,35,FALSE),0))</f>
        <v>#N/A</v>
      </c>
      <c r="E313" s="78">
        <v>0</v>
      </c>
      <c r="F313" s="78">
        <v>0</v>
      </c>
      <c r="G313" s="78">
        <v>0</v>
      </c>
      <c r="H313" s="78">
        <v>0</v>
      </c>
      <c r="I313" s="78">
        <v>0</v>
      </c>
      <c r="J313" s="78">
        <v>0</v>
      </c>
      <c r="K313" s="78">
        <v>0</v>
      </c>
      <c r="L313" s="36" t="e">
        <f t="shared" ca="1" si="72"/>
        <v>#N/A</v>
      </c>
      <c r="M313" s="37" t="e">
        <f t="shared" ca="1" si="70"/>
        <v>#N/A</v>
      </c>
      <c r="N313" s="37" t="e">
        <f t="shared" ca="1" si="71"/>
        <v>#N/A</v>
      </c>
      <c r="P313" s="35" t="e">
        <f t="shared" ca="1" si="78"/>
        <v>#N/A</v>
      </c>
      <c r="Q313" s="59" t="e">
        <f t="shared" ca="1" si="73"/>
        <v>#N/A</v>
      </c>
      <c r="R313" s="44" t="e">
        <f t="shared" ca="1" si="74"/>
        <v>#N/A</v>
      </c>
      <c r="S313" s="37" t="e">
        <f ca="1">IF(P313="","",IF(P313="Total",SUM($S$19:S312),VLOOKUP($P313,$B$12:$L367,11,FALSE)))</f>
        <v>#N/A</v>
      </c>
      <c r="T313" s="44" t="e">
        <f ca="1">IF(payfreq="Annually",IF(P313="","",IF(P313="Total",SUM($T$19:T312),Adj_Rate*$R313)),IF(payfreq="Semiannually",IF(P313="","",IF(P313="Total",SUM($T$19:T312),Adj_Rate/2*$R313)),IF(payfreq="Quarterly",IF(P313="","",IF(P313="Total",SUM($T$19:T312),Adj_Rate/4*$R313)),IF(payfreq="Monthly",IF(P313="","",IF(P313="Total",SUM($T$19:T312),Adj_Rate/12*$R313)),""))))</f>
        <v>#N/A</v>
      </c>
      <c r="U313" s="37" t="e">
        <f t="shared" ca="1" si="75"/>
        <v>#N/A</v>
      </c>
      <c r="V313" s="44" t="e">
        <f t="shared" ca="1" si="76"/>
        <v>#N/A</v>
      </c>
    </row>
    <row r="314" spans="2:22">
      <c r="B314" s="38">
        <v>295</v>
      </c>
      <c r="C314" s="77" t="e">
        <f t="shared" ca="1" si="77"/>
        <v>#N/A</v>
      </c>
      <c r="D314" s="78" t="e">
        <f ca="1">+IF(AND(B314&lt;$G$7),VLOOKUP($B$1,Inventory!$A$1:$BC$500,35,FALSE),IF(AND(B314=$G$7,pmt_timing="End"),VLOOKUP($B$1,Inventory!$A$1:$BC$500,35,FALSE),0))</f>
        <v>#N/A</v>
      </c>
      <c r="E314" s="78">
        <v>0</v>
      </c>
      <c r="F314" s="78">
        <v>0</v>
      </c>
      <c r="G314" s="78">
        <v>0</v>
      </c>
      <c r="H314" s="78">
        <v>0</v>
      </c>
      <c r="I314" s="78">
        <v>0</v>
      </c>
      <c r="J314" s="78">
        <v>0</v>
      </c>
      <c r="K314" s="78">
        <v>0</v>
      </c>
      <c r="L314" s="36" t="e">
        <f t="shared" ca="1" si="72"/>
        <v>#N/A</v>
      </c>
      <c r="M314" s="37" t="e">
        <f t="shared" ca="1" si="70"/>
        <v>#N/A</v>
      </c>
      <c r="N314" s="37" t="e">
        <f t="shared" ca="1" si="71"/>
        <v>#N/A</v>
      </c>
      <c r="P314" s="35" t="e">
        <f t="shared" ca="1" si="78"/>
        <v>#N/A</v>
      </c>
      <c r="Q314" s="59" t="e">
        <f t="shared" ca="1" si="73"/>
        <v>#N/A</v>
      </c>
      <c r="R314" s="44" t="e">
        <f t="shared" ca="1" si="74"/>
        <v>#N/A</v>
      </c>
      <c r="S314" s="37" t="e">
        <f ca="1">IF(P314="","",IF(P314="Total",SUM($S$19:S313),VLOOKUP($P314,$B$12:$L368,11,FALSE)))</f>
        <v>#N/A</v>
      </c>
      <c r="T314" s="44" t="e">
        <f ca="1">IF(payfreq="Annually",IF(P314="","",IF(P314="Total",SUM($T$19:T313),Adj_Rate*$R314)),IF(payfreq="Semiannually",IF(P314="","",IF(P314="Total",SUM($T$19:T313),Adj_Rate/2*$R314)),IF(payfreq="Quarterly",IF(P314="","",IF(P314="Total",SUM($T$19:T313),Adj_Rate/4*$R314)),IF(payfreq="Monthly",IF(P314="","",IF(P314="Total",SUM($T$19:T313),Adj_Rate/12*$R314)),""))))</f>
        <v>#N/A</v>
      </c>
      <c r="U314" s="37" t="e">
        <f t="shared" ca="1" si="75"/>
        <v>#N/A</v>
      </c>
      <c r="V314" s="44" t="e">
        <f t="shared" ca="1" si="76"/>
        <v>#N/A</v>
      </c>
    </row>
    <row r="315" spans="2:22">
      <c r="B315" s="38">
        <v>296</v>
      </c>
      <c r="C315" s="77" t="e">
        <f t="shared" ca="1" si="77"/>
        <v>#N/A</v>
      </c>
      <c r="D315" s="78" t="e">
        <f ca="1">+IF(AND(B315&lt;$G$7),VLOOKUP($B$1,Inventory!$A$1:$BC$500,35,FALSE),IF(AND(B315=$G$7,pmt_timing="End"),VLOOKUP($B$1,Inventory!$A$1:$BC$500,35,FALSE),0))</f>
        <v>#N/A</v>
      </c>
      <c r="E315" s="78">
        <v>0</v>
      </c>
      <c r="F315" s="78">
        <v>0</v>
      </c>
      <c r="G315" s="78">
        <v>0</v>
      </c>
      <c r="H315" s="78">
        <v>0</v>
      </c>
      <c r="I315" s="78">
        <v>0</v>
      </c>
      <c r="J315" s="78">
        <v>0</v>
      </c>
      <c r="K315" s="78">
        <v>0</v>
      </c>
      <c r="L315" s="36" t="e">
        <f t="shared" ca="1" si="72"/>
        <v>#N/A</v>
      </c>
      <c r="M315" s="37" t="e">
        <f t="shared" ca="1" si="70"/>
        <v>#N/A</v>
      </c>
      <c r="N315" s="37" t="e">
        <f t="shared" ca="1" si="71"/>
        <v>#N/A</v>
      </c>
      <c r="P315" s="35" t="e">
        <f t="shared" ca="1" si="78"/>
        <v>#N/A</v>
      </c>
      <c r="Q315" s="59" t="e">
        <f t="shared" ca="1" si="73"/>
        <v>#N/A</v>
      </c>
      <c r="R315" s="44" t="e">
        <f t="shared" ca="1" si="74"/>
        <v>#N/A</v>
      </c>
      <c r="S315" s="37" t="e">
        <f ca="1">IF(P315="","",IF(P315="Total",SUM($S$19:S314),VLOOKUP($P315,$B$12:$L369,11,FALSE)))</f>
        <v>#N/A</v>
      </c>
      <c r="T315" s="44" t="e">
        <f ca="1">IF(payfreq="Annually",IF(P315="","",IF(P315="Total",SUM($T$19:T314),Adj_Rate*$R315)),IF(payfreq="Semiannually",IF(P315="","",IF(P315="Total",SUM($T$19:T314),Adj_Rate/2*$R315)),IF(payfreq="Quarterly",IF(P315="","",IF(P315="Total",SUM($T$19:T314),Adj_Rate/4*$R315)),IF(payfreq="Monthly",IF(P315="","",IF(P315="Total",SUM($T$19:T314),Adj_Rate/12*$R315)),""))))</f>
        <v>#N/A</v>
      </c>
      <c r="U315" s="37" t="e">
        <f t="shared" ca="1" si="75"/>
        <v>#N/A</v>
      </c>
      <c r="V315" s="44" t="e">
        <f t="shared" ca="1" si="76"/>
        <v>#N/A</v>
      </c>
    </row>
    <row r="316" spans="2:22">
      <c r="B316" s="38">
        <v>297</v>
      </c>
      <c r="C316" s="77" t="e">
        <f t="shared" ca="1" si="77"/>
        <v>#N/A</v>
      </c>
      <c r="D316" s="78" t="e">
        <f ca="1">+IF(AND(B316&lt;$G$7),VLOOKUP($B$1,Inventory!$A$1:$BC$500,35,FALSE),IF(AND(B316=$G$7,pmt_timing="End"),VLOOKUP($B$1,Inventory!$A$1:$BC$500,35,FALSE),0))</f>
        <v>#N/A</v>
      </c>
      <c r="E316" s="78">
        <v>0</v>
      </c>
      <c r="F316" s="78">
        <v>0</v>
      </c>
      <c r="G316" s="78">
        <v>0</v>
      </c>
      <c r="H316" s="78">
        <v>0</v>
      </c>
      <c r="I316" s="78">
        <v>0</v>
      </c>
      <c r="J316" s="78">
        <v>0</v>
      </c>
      <c r="K316" s="78">
        <v>0</v>
      </c>
      <c r="L316" s="36" t="e">
        <f t="shared" ca="1" si="72"/>
        <v>#N/A</v>
      </c>
      <c r="M316" s="37" t="e">
        <f t="shared" ca="1" si="70"/>
        <v>#N/A</v>
      </c>
      <c r="N316" s="37" t="e">
        <f t="shared" ca="1" si="71"/>
        <v>#N/A</v>
      </c>
      <c r="P316" s="35" t="e">
        <f t="shared" ca="1" si="78"/>
        <v>#N/A</v>
      </c>
      <c r="Q316" s="59" t="e">
        <f t="shared" ca="1" si="73"/>
        <v>#N/A</v>
      </c>
      <c r="R316" s="44" t="e">
        <f t="shared" ca="1" si="74"/>
        <v>#N/A</v>
      </c>
      <c r="S316" s="37" t="e">
        <f ca="1">IF(P316="","",IF(P316="Total",SUM($S$19:S315),VLOOKUP($P316,$B$12:$L370,11,FALSE)))</f>
        <v>#N/A</v>
      </c>
      <c r="T316" s="44" t="e">
        <f ca="1">IF(payfreq="Annually",IF(P316="","",IF(P316="Total",SUM($T$19:T315),Adj_Rate*$R316)),IF(payfreq="Semiannually",IF(P316="","",IF(P316="Total",SUM($T$19:T315),Adj_Rate/2*$R316)),IF(payfreq="Quarterly",IF(P316="","",IF(P316="Total",SUM($T$19:T315),Adj_Rate/4*$R316)),IF(payfreq="Monthly",IF(P316="","",IF(P316="Total",SUM($T$19:T315),Adj_Rate/12*$R316)),""))))</f>
        <v>#N/A</v>
      </c>
      <c r="U316" s="37" t="e">
        <f t="shared" ca="1" si="75"/>
        <v>#N/A</v>
      </c>
      <c r="V316" s="44" t="e">
        <f t="shared" ca="1" si="76"/>
        <v>#N/A</v>
      </c>
    </row>
    <row r="317" spans="2:22">
      <c r="B317" s="38">
        <v>298</v>
      </c>
      <c r="C317" s="77" t="e">
        <f t="shared" ca="1" si="77"/>
        <v>#N/A</v>
      </c>
      <c r="D317" s="78" t="e">
        <f ca="1">+IF(AND(B317&lt;$G$7),VLOOKUP($B$1,Inventory!$A$1:$BC$500,35,FALSE),IF(AND(B317=$G$7,pmt_timing="End"),VLOOKUP($B$1,Inventory!$A$1:$BC$500,35,FALSE),0))</f>
        <v>#N/A</v>
      </c>
      <c r="E317" s="78">
        <v>0</v>
      </c>
      <c r="F317" s="78">
        <v>0</v>
      </c>
      <c r="G317" s="78">
        <v>0</v>
      </c>
      <c r="H317" s="78">
        <v>0</v>
      </c>
      <c r="I317" s="78">
        <v>0</v>
      </c>
      <c r="J317" s="78">
        <v>0</v>
      </c>
      <c r="K317" s="78">
        <v>0</v>
      </c>
      <c r="L317" s="36" t="e">
        <f t="shared" ca="1" si="72"/>
        <v>#N/A</v>
      </c>
      <c r="M317" s="37" t="e">
        <f t="shared" ca="1" si="70"/>
        <v>#N/A</v>
      </c>
      <c r="N317" s="37" t="e">
        <f t="shared" ca="1" si="71"/>
        <v>#N/A</v>
      </c>
      <c r="P317" s="35" t="e">
        <f t="shared" ca="1" si="78"/>
        <v>#N/A</v>
      </c>
      <c r="Q317" s="59" t="e">
        <f t="shared" ca="1" si="73"/>
        <v>#N/A</v>
      </c>
      <c r="R317" s="44" t="e">
        <f t="shared" ca="1" si="74"/>
        <v>#N/A</v>
      </c>
      <c r="S317" s="37" t="e">
        <f ca="1">IF(P317="","",IF(P317="Total",SUM($S$19:S316),VLOOKUP($P317,$B$12:$L371,11,FALSE)))</f>
        <v>#N/A</v>
      </c>
      <c r="T317" s="44" t="e">
        <f ca="1">IF(payfreq="Annually",IF(P317="","",IF(P317="Total",SUM($T$19:T316),Adj_Rate*$R317)),IF(payfreq="Semiannually",IF(P317="","",IF(P317="Total",SUM($T$19:T316),Adj_Rate/2*$R317)),IF(payfreq="Quarterly",IF(P317="","",IF(P317="Total",SUM($T$19:T316),Adj_Rate/4*$R317)),IF(payfreq="Monthly",IF(P317="","",IF(P317="Total",SUM($T$19:T316),Adj_Rate/12*$R317)),""))))</f>
        <v>#N/A</v>
      </c>
      <c r="U317" s="37" t="e">
        <f t="shared" ca="1" si="75"/>
        <v>#N/A</v>
      </c>
      <c r="V317" s="44" t="e">
        <f t="shared" ca="1" si="76"/>
        <v>#N/A</v>
      </c>
    </row>
    <row r="318" spans="2:22">
      <c r="B318" s="38">
        <v>299</v>
      </c>
      <c r="C318" s="77" t="e">
        <f t="shared" ca="1" si="77"/>
        <v>#N/A</v>
      </c>
      <c r="D318" s="78" t="e">
        <f ca="1">+IF(AND(B318&lt;$G$7),VLOOKUP($B$1,Inventory!$A$1:$BC$500,35,FALSE),IF(AND(B318=$G$7,pmt_timing="End"),VLOOKUP($B$1,Inventory!$A$1:$BC$500,35,FALSE),0))</f>
        <v>#N/A</v>
      </c>
      <c r="E318" s="78">
        <v>0</v>
      </c>
      <c r="F318" s="78">
        <v>0</v>
      </c>
      <c r="G318" s="78">
        <v>0</v>
      </c>
      <c r="H318" s="78">
        <v>0</v>
      </c>
      <c r="I318" s="78">
        <v>0</v>
      </c>
      <c r="J318" s="78">
        <v>0</v>
      </c>
      <c r="K318" s="78">
        <v>0</v>
      </c>
      <c r="L318" s="36" t="e">
        <f t="shared" ca="1" si="72"/>
        <v>#N/A</v>
      </c>
      <c r="M318" s="37" t="e">
        <f t="shared" ca="1" si="70"/>
        <v>#N/A</v>
      </c>
      <c r="N318" s="37" t="e">
        <f t="shared" ca="1" si="71"/>
        <v>#N/A</v>
      </c>
      <c r="P318" s="35" t="e">
        <f t="shared" ca="1" si="78"/>
        <v>#N/A</v>
      </c>
      <c r="Q318" s="59" t="e">
        <f t="shared" ca="1" si="73"/>
        <v>#N/A</v>
      </c>
      <c r="R318" s="44" t="e">
        <f t="shared" ca="1" si="74"/>
        <v>#N/A</v>
      </c>
      <c r="S318" s="37" t="e">
        <f ca="1">IF(P318="","",IF(P318="Total",SUM($S$19:S317),VLOOKUP($P318,$B$12:$L372,11,FALSE)))</f>
        <v>#N/A</v>
      </c>
      <c r="T318" s="44" t="e">
        <f ca="1">IF(payfreq="Annually",IF(P318="","",IF(P318="Total",SUM($T$19:T317),Adj_Rate*$R318)),IF(payfreq="Semiannually",IF(P318="","",IF(P318="Total",SUM($T$19:T317),Adj_Rate/2*$R318)),IF(payfreq="Quarterly",IF(P318="","",IF(P318="Total",SUM($T$19:T317),Adj_Rate/4*$R318)),IF(payfreq="Monthly",IF(P318="","",IF(P318="Total",SUM($T$19:T317),Adj_Rate/12*$R318)),""))))</f>
        <v>#N/A</v>
      </c>
      <c r="U318" s="37" t="e">
        <f t="shared" ca="1" si="75"/>
        <v>#N/A</v>
      </c>
      <c r="V318" s="44" t="e">
        <f t="shared" ca="1" si="76"/>
        <v>#N/A</v>
      </c>
    </row>
    <row r="319" spans="2:22">
      <c r="B319" s="38">
        <v>300</v>
      </c>
      <c r="C319" s="77" t="e">
        <f t="shared" ca="1" si="77"/>
        <v>#N/A</v>
      </c>
      <c r="D319" s="78" t="e">
        <f ca="1">+IF(AND(B319&lt;$G$7),VLOOKUP($B$1,Inventory!$A$1:$BC$500,35,FALSE),IF(AND(B319=$G$7,pmt_timing="End"),VLOOKUP($B$1,Inventory!$A$1:$BC$500,35,FALSE),0))</f>
        <v>#N/A</v>
      </c>
      <c r="E319" s="78">
        <v>0</v>
      </c>
      <c r="F319" s="78">
        <v>0</v>
      </c>
      <c r="G319" s="78">
        <v>0</v>
      </c>
      <c r="H319" s="78">
        <v>0</v>
      </c>
      <c r="I319" s="78">
        <v>0</v>
      </c>
      <c r="J319" s="78">
        <v>0</v>
      </c>
      <c r="K319" s="78">
        <v>0</v>
      </c>
      <c r="L319" s="36" t="e">
        <f t="shared" ca="1" si="72"/>
        <v>#N/A</v>
      </c>
      <c r="M319" s="37" t="e">
        <f t="shared" ca="1" si="70"/>
        <v>#N/A</v>
      </c>
      <c r="N319" s="37" t="e">
        <f t="shared" ca="1" si="71"/>
        <v>#N/A</v>
      </c>
      <c r="P319" s="35" t="e">
        <f t="shared" ca="1" si="78"/>
        <v>#N/A</v>
      </c>
      <c r="Q319" s="59" t="e">
        <f t="shared" ca="1" si="73"/>
        <v>#N/A</v>
      </c>
      <c r="R319" s="44" t="e">
        <f t="shared" ca="1" si="74"/>
        <v>#N/A</v>
      </c>
      <c r="S319" s="37" t="e">
        <f ca="1">IF(P319="","",IF(P319="Total",SUM($S$19:S318),VLOOKUP($P319,$B$12:$L373,11,FALSE)))</f>
        <v>#N/A</v>
      </c>
      <c r="T319" s="44" t="e">
        <f ca="1">IF(payfreq="Annually",IF(P319="","",IF(P319="Total",SUM($T$19:T318),Adj_Rate*$R319)),IF(payfreq="Semiannually",IF(P319="","",IF(P319="Total",SUM($T$19:T318),Adj_Rate/2*$R319)),IF(payfreq="Quarterly",IF(P319="","",IF(P319="Total",SUM($T$19:T318),Adj_Rate/4*$R319)),IF(payfreq="Monthly",IF(P319="","",IF(P319="Total",SUM($T$19:T318),Adj_Rate/12*$R319)),""))))</f>
        <v>#N/A</v>
      </c>
      <c r="U319" s="37" t="e">
        <f t="shared" ca="1" si="75"/>
        <v>#N/A</v>
      </c>
      <c r="V319" s="44" t="e">
        <f t="shared" ca="1" si="76"/>
        <v>#N/A</v>
      </c>
    </row>
    <row r="320" spans="2:22">
      <c r="B320" s="38">
        <v>301</v>
      </c>
      <c r="C320" s="77" t="e">
        <f t="shared" ca="1" si="77"/>
        <v>#N/A</v>
      </c>
      <c r="D320" s="78" t="e">
        <f ca="1">+IF(AND(B320&lt;$G$7),VLOOKUP($B$1,Inventory!$A$1:$BC$500,35,FALSE),IF(AND(B320=$G$7,pmt_timing="End"),VLOOKUP($B$1,Inventory!$A$1:$BC$500,35,FALSE),0))</f>
        <v>#N/A</v>
      </c>
      <c r="E320" s="78">
        <v>0</v>
      </c>
      <c r="F320" s="78">
        <v>0</v>
      </c>
      <c r="G320" s="78">
        <v>0</v>
      </c>
      <c r="H320" s="78">
        <v>0</v>
      </c>
      <c r="I320" s="78">
        <v>0</v>
      </c>
      <c r="J320" s="78">
        <v>0</v>
      </c>
      <c r="K320" s="78">
        <v>0</v>
      </c>
      <c r="L320" s="36" t="e">
        <f t="shared" ca="1" si="72"/>
        <v>#N/A</v>
      </c>
      <c r="M320" s="37" t="e">
        <f t="shared" ca="1" si="70"/>
        <v>#N/A</v>
      </c>
      <c r="N320" s="37" t="e">
        <f t="shared" ca="1" si="71"/>
        <v>#N/A</v>
      </c>
      <c r="P320" s="35" t="e">
        <f t="shared" ca="1" si="78"/>
        <v>#N/A</v>
      </c>
      <c r="Q320" s="59" t="e">
        <f t="shared" ca="1" si="73"/>
        <v>#N/A</v>
      </c>
      <c r="R320" s="44" t="e">
        <f t="shared" ca="1" si="74"/>
        <v>#N/A</v>
      </c>
      <c r="S320" s="37" t="e">
        <f ca="1">IF(P320="","",IF(P320="Total",SUM($S$19:S319),VLOOKUP($P320,$B$12:$L374,11,FALSE)))</f>
        <v>#N/A</v>
      </c>
      <c r="T320" s="44" t="e">
        <f ca="1">IF(payfreq="Annually",IF(P320="","",IF(P320="Total",SUM($T$19:T319),Adj_Rate*$R320)),IF(payfreq="Semiannually",IF(P320="","",IF(P320="Total",SUM($T$19:T319),Adj_Rate/2*$R320)),IF(payfreq="Quarterly",IF(P320="","",IF(P320="Total",SUM($T$19:T319),Adj_Rate/4*$R320)),IF(payfreq="Monthly",IF(P320="","",IF(P320="Total",SUM($T$19:T319),Adj_Rate/12*$R320)),""))))</f>
        <v>#N/A</v>
      </c>
      <c r="U320" s="37" t="e">
        <f t="shared" ca="1" si="75"/>
        <v>#N/A</v>
      </c>
      <c r="V320" s="44" t="e">
        <f t="shared" ca="1" si="76"/>
        <v>#N/A</v>
      </c>
    </row>
    <row r="321" spans="2:22">
      <c r="B321" s="38">
        <v>302</v>
      </c>
      <c r="C321" s="77" t="e">
        <f t="shared" ca="1" si="77"/>
        <v>#N/A</v>
      </c>
      <c r="D321" s="78" t="e">
        <f ca="1">+IF(AND(B321&lt;$G$7),VLOOKUP($B$1,Inventory!$A$1:$BC$500,35,FALSE),IF(AND(B321=$G$7,pmt_timing="End"),VLOOKUP($B$1,Inventory!$A$1:$BC$500,35,FALSE),0))</f>
        <v>#N/A</v>
      </c>
      <c r="E321" s="78">
        <v>0</v>
      </c>
      <c r="F321" s="78">
        <v>0</v>
      </c>
      <c r="G321" s="78">
        <v>0</v>
      </c>
      <c r="H321" s="78">
        <v>0</v>
      </c>
      <c r="I321" s="78">
        <v>0</v>
      </c>
      <c r="J321" s="78">
        <v>0</v>
      </c>
      <c r="K321" s="78">
        <v>0</v>
      </c>
      <c r="L321" s="36" t="e">
        <f t="shared" ca="1" si="72"/>
        <v>#N/A</v>
      </c>
      <c r="M321" s="37" t="e">
        <f t="shared" ca="1" si="70"/>
        <v>#N/A</v>
      </c>
      <c r="N321" s="37" t="e">
        <f t="shared" ca="1" si="71"/>
        <v>#N/A</v>
      </c>
      <c r="P321" s="35" t="e">
        <f t="shared" ca="1" si="78"/>
        <v>#N/A</v>
      </c>
      <c r="Q321" s="59" t="e">
        <f t="shared" ca="1" si="73"/>
        <v>#N/A</v>
      </c>
      <c r="R321" s="44" t="e">
        <f t="shared" ca="1" si="74"/>
        <v>#N/A</v>
      </c>
      <c r="S321" s="37" t="e">
        <f ca="1">IF(P321="","",IF(P321="Total",SUM($S$19:S320),VLOOKUP($P321,$B$12:$L375,11,FALSE)))</f>
        <v>#N/A</v>
      </c>
      <c r="T321" s="44" t="e">
        <f ca="1">IF(payfreq="Annually",IF(P321="","",IF(P321="Total",SUM($T$19:T320),Adj_Rate*$R321)),IF(payfreq="Semiannually",IF(P321="","",IF(P321="Total",SUM($T$19:T320),Adj_Rate/2*$R321)),IF(payfreq="Quarterly",IF(P321="","",IF(P321="Total",SUM($T$19:T320),Adj_Rate/4*$R321)),IF(payfreq="Monthly",IF(P321="","",IF(P321="Total",SUM($T$19:T320),Adj_Rate/12*$R321)),""))))</f>
        <v>#N/A</v>
      </c>
      <c r="U321" s="37" t="e">
        <f t="shared" ca="1" si="75"/>
        <v>#N/A</v>
      </c>
      <c r="V321" s="44" t="e">
        <f t="shared" ca="1" si="76"/>
        <v>#N/A</v>
      </c>
    </row>
    <row r="322" spans="2:22">
      <c r="B322" s="38">
        <v>303</v>
      </c>
      <c r="C322" s="77" t="e">
        <f t="shared" ca="1" si="77"/>
        <v>#N/A</v>
      </c>
      <c r="D322" s="78" t="e">
        <f ca="1">+IF(AND(B322&lt;$G$7),VLOOKUP($B$1,Inventory!$A$1:$BC$500,35,FALSE),IF(AND(B322=$G$7,pmt_timing="End"),VLOOKUP($B$1,Inventory!$A$1:$BC$500,35,FALSE),0))</f>
        <v>#N/A</v>
      </c>
      <c r="E322" s="78">
        <v>0</v>
      </c>
      <c r="F322" s="78">
        <v>0</v>
      </c>
      <c r="G322" s="78">
        <v>0</v>
      </c>
      <c r="H322" s="78">
        <v>0</v>
      </c>
      <c r="I322" s="78">
        <v>0</v>
      </c>
      <c r="J322" s="78">
        <v>0</v>
      </c>
      <c r="K322" s="78">
        <v>0</v>
      </c>
      <c r="L322" s="36" t="e">
        <f t="shared" ca="1" si="72"/>
        <v>#N/A</v>
      </c>
      <c r="M322" s="37" t="e">
        <f t="shared" ca="1" si="70"/>
        <v>#N/A</v>
      </c>
      <c r="N322" s="37" t="e">
        <f t="shared" ca="1" si="71"/>
        <v>#N/A</v>
      </c>
      <c r="P322" s="35" t="e">
        <f t="shared" ca="1" si="78"/>
        <v>#N/A</v>
      </c>
      <c r="Q322" s="59" t="e">
        <f t="shared" ca="1" si="73"/>
        <v>#N/A</v>
      </c>
      <c r="R322" s="44" t="e">
        <f t="shared" ca="1" si="74"/>
        <v>#N/A</v>
      </c>
      <c r="S322" s="37" t="e">
        <f ca="1">IF(P322="","",IF(P322="Total",SUM($S$19:S321),VLOOKUP($P322,$B$12:$L376,11,FALSE)))</f>
        <v>#N/A</v>
      </c>
      <c r="T322" s="44" t="e">
        <f ca="1">IF(payfreq="Annually",IF(P322="","",IF(P322="Total",SUM($T$19:T321),Adj_Rate*$R322)),IF(payfreq="Semiannually",IF(P322="","",IF(P322="Total",SUM($T$19:T321),Adj_Rate/2*$R322)),IF(payfreq="Quarterly",IF(P322="","",IF(P322="Total",SUM($T$19:T321),Adj_Rate/4*$R322)),IF(payfreq="Monthly",IF(P322="","",IF(P322="Total",SUM($T$19:T321),Adj_Rate/12*$R322)),""))))</f>
        <v>#N/A</v>
      </c>
      <c r="U322" s="37" t="e">
        <f t="shared" ca="1" si="75"/>
        <v>#N/A</v>
      </c>
      <c r="V322" s="44" t="e">
        <f t="shared" ca="1" si="76"/>
        <v>#N/A</v>
      </c>
    </row>
    <row r="323" spans="2:22">
      <c r="B323" s="38">
        <v>304</v>
      </c>
      <c r="C323" s="77" t="e">
        <f t="shared" ca="1" si="77"/>
        <v>#N/A</v>
      </c>
      <c r="D323" s="78" t="e">
        <f ca="1">+IF(AND(B323&lt;$G$7),VLOOKUP($B$1,Inventory!$A$1:$BC$500,35,FALSE),IF(AND(B323=$G$7,pmt_timing="End"),VLOOKUP($B$1,Inventory!$A$1:$BC$500,35,FALSE),0))</f>
        <v>#N/A</v>
      </c>
      <c r="E323" s="78">
        <v>0</v>
      </c>
      <c r="F323" s="78">
        <v>0</v>
      </c>
      <c r="G323" s="78">
        <v>0</v>
      </c>
      <c r="H323" s="78">
        <v>0</v>
      </c>
      <c r="I323" s="78">
        <v>0</v>
      </c>
      <c r="J323" s="78">
        <v>0</v>
      </c>
      <c r="K323" s="78">
        <v>0</v>
      </c>
      <c r="L323" s="36" t="e">
        <f t="shared" ca="1" si="72"/>
        <v>#N/A</v>
      </c>
      <c r="M323" s="37" t="e">
        <f t="shared" ca="1" si="70"/>
        <v>#N/A</v>
      </c>
      <c r="N323" s="37" t="e">
        <f t="shared" ca="1" si="71"/>
        <v>#N/A</v>
      </c>
      <c r="P323" s="35" t="e">
        <f t="shared" ca="1" si="78"/>
        <v>#N/A</v>
      </c>
      <c r="Q323" s="59" t="e">
        <f t="shared" ca="1" si="73"/>
        <v>#N/A</v>
      </c>
      <c r="R323" s="44" t="e">
        <f t="shared" ca="1" si="74"/>
        <v>#N/A</v>
      </c>
      <c r="S323" s="37" t="e">
        <f ca="1">IF(P323="","",IF(P323="Total",SUM($S$19:S322),VLOOKUP($P323,$B$12:$L377,11,FALSE)))</f>
        <v>#N/A</v>
      </c>
      <c r="T323" s="44" t="e">
        <f ca="1">IF(payfreq="Annually",IF(P323="","",IF(P323="Total",SUM($T$19:T322),Adj_Rate*$R323)),IF(payfreq="Semiannually",IF(P323="","",IF(P323="Total",SUM($T$19:T322),Adj_Rate/2*$R323)),IF(payfreq="Quarterly",IF(P323="","",IF(P323="Total",SUM($T$19:T322),Adj_Rate/4*$R323)),IF(payfreq="Monthly",IF(P323="","",IF(P323="Total",SUM($T$19:T322),Adj_Rate/12*$R323)),""))))</f>
        <v>#N/A</v>
      </c>
      <c r="U323" s="37" t="e">
        <f t="shared" ca="1" si="75"/>
        <v>#N/A</v>
      </c>
      <c r="V323" s="44" t="e">
        <f t="shared" ca="1" si="76"/>
        <v>#N/A</v>
      </c>
    </row>
    <row r="324" spans="2:22">
      <c r="B324" s="38">
        <v>305</v>
      </c>
      <c r="C324" s="77" t="e">
        <f t="shared" ca="1" si="77"/>
        <v>#N/A</v>
      </c>
      <c r="D324" s="78" t="e">
        <f ca="1">+IF(AND(B324&lt;$G$7),VLOOKUP($B$1,Inventory!$A$1:$BC$500,35,FALSE),IF(AND(B324=$G$7,pmt_timing="End"),VLOOKUP($B$1,Inventory!$A$1:$BC$500,35,FALSE),0))</f>
        <v>#N/A</v>
      </c>
      <c r="E324" s="78">
        <v>0</v>
      </c>
      <c r="F324" s="78">
        <v>0</v>
      </c>
      <c r="G324" s="78">
        <v>0</v>
      </c>
      <c r="H324" s="78">
        <v>0</v>
      </c>
      <c r="I324" s="78">
        <v>0</v>
      </c>
      <c r="J324" s="78">
        <v>0</v>
      </c>
      <c r="K324" s="78">
        <v>0</v>
      </c>
      <c r="L324" s="36" t="e">
        <f t="shared" ca="1" si="72"/>
        <v>#N/A</v>
      </c>
      <c r="M324" s="37" t="e">
        <f t="shared" ca="1" si="70"/>
        <v>#N/A</v>
      </c>
      <c r="N324" s="37" t="e">
        <f t="shared" ca="1" si="71"/>
        <v>#N/A</v>
      </c>
      <c r="P324" s="35" t="e">
        <f t="shared" ca="1" si="78"/>
        <v>#N/A</v>
      </c>
      <c r="Q324" s="59" t="e">
        <f t="shared" ca="1" si="73"/>
        <v>#N/A</v>
      </c>
      <c r="R324" s="44" t="e">
        <f t="shared" ca="1" si="74"/>
        <v>#N/A</v>
      </c>
      <c r="S324" s="37" t="e">
        <f ca="1">IF(P324="","",IF(P324="Total",SUM($S$19:S323),VLOOKUP($P324,$B$12:$L378,11,FALSE)))</f>
        <v>#N/A</v>
      </c>
      <c r="T324" s="44" t="e">
        <f ca="1">IF(payfreq="Annually",IF(P324="","",IF(P324="Total",SUM($T$19:T323),Adj_Rate*$R324)),IF(payfreq="Semiannually",IF(P324="","",IF(P324="Total",SUM($T$19:T323),Adj_Rate/2*$R324)),IF(payfreq="Quarterly",IF(P324="","",IF(P324="Total",SUM($T$19:T323),Adj_Rate/4*$R324)),IF(payfreq="Monthly",IF(P324="","",IF(P324="Total",SUM($T$19:T323),Adj_Rate/12*$R324)),""))))</f>
        <v>#N/A</v>
      </c>
      <c r="U324" s="37" t="e">
        <f t="shared" ca="1" si="75"/>
        <v>#N/A</v>
      </c>
      <c r="V324" s="44" t="e">
        <f t="shared" ca="1" si="76"/>
        <v>#N/A</v>
      </c>
    </row>
    <row r="325" spans="2:22">
      <c r="B325" s="38">
        <v>306</v>
      </c>
      <c r="C325" s="77" t="e">
        <f t="shared" ca="1" si="77"/>
        <v>#N/A</v>
      </c>
      <c r="D325" s="78" t="e">
        <f ca="1">+IF(AND(B325&lt;$G$7),VLOOKUP($B$1,Inventory!$A$1:$BC$500,35,FALSE),IF(AND(B325=$G$7,pmt_timing="End"),VLOOKUP($B$1,Inventory!$A$1:$BC$500,35,FALSE),0))</f>
        <v>#N/A</v>
      </c>
      <c r="E325" s="78">
        <v>0</v>
      </c>
      <c r="F325" s="78">
        <v>0</v>
      </c>
      <c r="G325" s="78">
        <v>0</v>
      </c>
      <c r="H325" s="78">
        <v>0</v>
      </c>
      <c r="I325" s="78">
        <v>0</v>
      </c>
      <c r="J325" s="78">
        <v>0</v>
      </c>
      <c r="K325" s="78">
        <v>0</v>
      </c>
      <c r="L325" s="36" t="e">
        <f t="shared" ca="1" si="72"/>
        <v>#N/A</v>
      </c>
      <c r="M325" s="37" t="e">
        <f t="shared" ca="1" si="70"/>
        <v>#N/A</v>
      </c>
      <c r="N325" s="37" t="e">
        <f t="shared" ca="1" si="71"/>
        <v>#N/A</v>
      </c>
      <c r="P325" s="35" t="e">
        <f t="shared" ca="1" si="78"/>
        <v>#N/A</v>
      </c>
      <c r="Q325" s="59" t="e">
        <f t="shared" ca="1" si="73"/>
        <v>#N/A</v>
      </c>
      <c r="R325" s="44" t="e">
        <f t="shared" ca="1" si="74"/>
        <v>#N/A</v>
      </c>
      <c r="S325" s="37" t="e">
        <f ca="1">IF(P325="","",IF(P325="Total",SUM($S$19:S324),VLOOKUP($P325,$B$12:$L379,11,FALSE)))</f>
        <v>#N/A</v>
      </c>
      <c r="T325" s="44" t="e">
        <f ca="1">IF(payfreq="Annually",IF(P325="","",IF(P325="Total",SUM($T$19:T324),Adj_Rate*$R325)),IF(payfreq="Semiannually",IF(P325="","",IF(P325="Total",SUM($T$19:T324),Adj_Rate/2*$R325)),IF(payfreq="Quarterly",IF(P325="","",IF(P325="Total",SUM($T$19:T324),Adj_Rate/4*$R325)),IF(payfreq="Monthly",IF(P325="","",IF(P325="Total",SUM($T$19:T324),Adj_Rate/12*$R325)),""))))</f>
        <v>#N/A</v>
      </c>
      <c r="U325" s="37" t="e">
        <f t="shared" ca="1" si="75"/>
        <v>#N/A</v>
      </c>
      <c r="V325" s="44" t="e">
        <f t="shared" ca="1" si="76"/>
        <v>#N/A</v>
      </c>
    </row>
    <row r="326" spans="2:22">
      <c r="B326" s="38">
        <v>307</v>
      </c>
      <c r="C326" s="77" t="e">
        <f t="shared" ca="1" si="77"/>
        <v>#N/A</v>
      </c>
      <c r="D326" s="78" t="e">
        <f ca="1">+IF(AND(B326&lt;$G$7),VLOOKUP($B$1,Inventory!$A$1:$BC$500,35,FALSE),IF(AND(B326=$G$7,pmt_timing="End"),VLOOKUP($B$1,Inventory!$A$1:$BC$500,35,FALSE),0))</f>
        <v>#N/A</v>
      </c>
      <c r="E326" s="78">
        <v>0</v>
      </c>
      <c r="F326" s="78">
        <v>0</v>
      </c>
      <c r="G326" s="78">
        <v>0</v>
      </c>
      <c r="H326" s="78">
        <v>0</v>
      </c>
      <c r="I326" s="78">
        <v>0</v>
      </c>
      <c r="J326" s="78">
        <v>0</v>
      </c>
      <c r="K326" s="78">
        <v>0</v>
      </c>
      <c r="L326" s="36" t="e">
        <f t="shared" ca="1" si="72"/>
        <v>#N/A</v>
      </c>
      <c r="M326" s="37" t="e">
        <f t="shared" ca="1" si="70"/>
        <v>#N/A</v>
      </c>
      <c r="N326" s="37" t="e">
        <f t="shared" ca="1" si="71"/>
        <v>#N/A</v>
      </c>
      <c r="P326" s="35" t="e">
        <f t="shared" ca="1" si="78"/>
        <v>#N/A</v>
      </c>
      <c r="Q326" s="59" t="e">
        <f t="shared" ca="1" si="73"/>
        <v>#N/A</v>
      </c>
      <c r="R326" s="44" t="e">
        <f t="shared" ca="1" si="74"/>
        <v>#N/A</v>
      </c>
      <c r="S326" s="37" t="e">
        <f ca="1">IF(P326="","",IF(P326="Total",SUM($S$19:S325),VLOOKUP($P326,$B$12:$L380,11,FALSE)))</f>
        <v>#N/A</v>
      </c>
      <c r="T326" s="44" t="e">
        <f ca="1">IF(payfreq="Annually",IF(P326="","",IF(P326="Total",SUM($T$19:T325),Adj_Rate*$R326)),IF(payfreq="Semiannually",IF(P326="","",IF(P326="Total",SUM($T$19:T325),Adj_Rate/2*$R326)),IF(payfreq="Quarterly",IF(P326="","",IF(P326="Total",SUM($T$19:T325),Adj_Rate/4*$R326)),IF(payfreq="Monthly",IF(P326="","",IF(P326="Total",SUM($T$19:T325),Adj_Rate/12*$R326)),""))))</f>
        <v>#N/A</v>
      </c>
      <c r="U326" s="37" t="e">
        <f t="shared" ca="1" si="75"/>
        <v>#N/A</v>
      </c>
      <c r="V326" s="44" t="e">
        <f t="shared" ca="1" si="76"/>
        <v>#N/A</v>
      </c>
    </row>
    <row r="327" spans="2:22">
      <c r="B327" s="38">
        <v>308</v>
      </c>
      <c r="C327" s="77" t="e">
        <f t="shared" ca="1" si="77"/>
        <v>#N/A</v>
      </c>
      <c r="D327" s="78" t="e">
        <f ca="1">+IF(AND(B327&lt;$G$7),VLOOKUP($B$1,Inventory!$A$1:$BC$500,35,FALSE),IF(AND(B327=$G$7,pmt_timing="End"),VLOOKUP($B$1,Inventory!$A$1:$BC$500,35,FALSE),0))</f>
        <v>#N/A</v>
      </c>
      <c r="E327" s="78">
        <v>0</v>
      </c>
      <c r="F327" s="78">
        <v>0</v>
      </c>
      <c r="G327" s="78">
        <v>0</v>
      </c>
      <c r="H327" s="78">
        <v>0</v>
      </c>
      <c r="I327" s="78">
        <v>0</v>
      </c>
      <c r="J327" s="78">
        <v>0</v>
      </c>
      <c r="K327" s="78">
        <v>0</v>
      </c>
      <c r="L327" s="36" t="e">
        <f t="shared" ca="1" si="72"/>
        <v>#N/A</v>
      </c>
      <c r="M327" s="37" t="e">
        <f t="shared" ca="1" si="70"/>
        <v>#N/A</v>
      </c>
      <c r="N327" s="37" t="e">
        <f t="shared" ca="1" si="71"/>
        <v>#N/A</v>
      </c>
      <c r="P327" s="35" t="e">
        <f t="shared" ca="1" si="78"/>
        <v>#N/A</v>
      </c>
      <c r="Q327" s="59" t="e">
        <f t="shared" ca="1" si="73"/>
        <v>#N/A</v>
      </c>
      <c r="R327" s="44" t="e">
        <f t="shared" ca="1" si="74"/>
        <v>#N/A</v>
      </c>
      <c r="S327" s="37" t="e">
        <f ca="1">IF(P327="","",IF(P327="Total",SUM($S$19:S326),VLOOKUP($P327,$B$12:$L381,11,FALSE)))</f>
        <v>#N/A</v>
      </c>
      <c r="T327" s="44" t="e">
        <f ca="1">IF(payfreq="Annually",IF(P327="","",IF(P327="Total",SUM($T$19:T326),Adj_Rate*$R327)),IF(payfreq="Semiannually",IF(P327="","",IF(P327="Total",SUM($T$19:T326),Adj_Rate/2*$R327)),IF(payfreq="Quarterly",IF(P327="","",IF(P327="Total",SUM($T$19:T326),Adj_Rate/4*$R327)),IF(payfreq="Monthly",IF(P327="","",IF(P327="Total",SUM($T$19:T326),Adj_Rate/12*$R327)),""))))</f>
        <v>#N/A</v>
      </c>
      <c r="U327" s="37" t="e">
        <f t="shared" ca="1" si="75"/>
        <v>#N/A</v>
      </c>
      <c r="V327" s="44" t="e">
        <f t="shared" ca="1" si="76"/>
        <v>#N/A</v>
      </c>
    </row>
    <row r="328" spans="2:22">
      <c r="B328" s="38">
        <v>309</v>
      </c>
      <c r="C328" s="77" t="e">
        <f t="shared" ca="1" si="77"/>
        <v>#N/A</v>
      </c>
      <c r="D328" s="78" t="e">
        <f ca="1">+IF(AND(B328&lt;$G$7),VLOOKUP($B$1,Inventory!$A$1:$BC$500,35,FALSE),IF(AND(B328=$G$7,pmt_timing="End"),VLOOKUP($B$1,Inventory!$A$1:$BC$500,35,FALSE),0))</f>
        <v>#N/A</v>
      </c>
      <c r="E328" s="78">
        <v>0</v>
      </c>
      <c r="F328" s="78">
        <v>0</v>
      </c>
      <c r="G328" s="78">
        <v>0</v>
      </c>
      <c r="H328" s="78">
        <v>0</v>
      </c>
      <c r="I328" s="78">
        <v>0</v>
      </c>
      <c r="J328" s="78">
        <v>0</v>
      </c>
      <c r="K328" s="78">
        <v>0</v>
      </c>
      <c r="L328" s="36" t="e">
        <f t="shared" ca="1" si="72"/>
        <v>#N/A</v>
      </c>
      <c r="M328" s="37" t="e">
        <f t="shared" ca="1" si="70"/>
        <v>#N/A</v>
      </c>
      <c r="N328" s="37" t="e">
        <f t="shared" ca="1" si="71"/>
        <v>#N/A</v>
      </c>
      <c r="P328" s="35" t="e">
        <f t="shared" ca="1" si="78"/>
        <v>#N/A</v>
      </c>
      <c r="Q328" s="59" t="e">
        <f t="shared" ca="1" si="73"/>
        <v>#N/A</v>
      </c>
      <c r="R328" s="44" t="e">
        <f t="shared" ca="1" si="74"/>
        <v>#N/A</v>
      </c>
      <c r="S328" s="37" t="e">
        <f ca="1">IF(P328="","",IF(P328="Total",SUM($S$19:S327),VLOOKUP($P328,$B$12:$L382,11,FALSE)))</f>
        <v>#N/A</v>
      </c>
      <c r="T328" s="44" t="e">
        <f ca="1">IF(payfreq="Annually",IF(P328="","",IF(P328="Total",SUM($T$19:T327),Adj_Rate*$R328)),IF(payfreq="Semiannually",IF(P328="","",IF(P328="Total",SUM($T$19:T327),Adj_Rate/2*$R328)),IF(payfreq="Quarterly",IF(P328="","",IF(P328="Total",SUM($T$19:T327),Adj_Rate/4*$R328)),IF(payfreq="Monthly",IF(P328="","",IF(P328="Total",SUM($T$19:T327),Adj_Rate/12*$R328)),""))))</f>
        <v>#N/A</v>
      </c>
      <c r="U328" s="37" t="e">
        <f t="shared" ca="1" si="75"/>
        <v>#N/A</v>
      </c>
      <c r="V328" s="44" t="e">
        <f t="shared" ca="1" si="76"/>
        <v>#N/A</v>
      </c>
    </row>
    <row r="329" spans="2:22">
      <c r="B329" s="38">
        <v>310</v>
      </c>
      <c r="C329" s="77" t="e">
        <f t="shared" ca="1" si="77"/>
        <v>#N/A</v>
      </c>
      <c r="D329" s="78" t="e">
        <f ca="1">+IF(AND(B329&lt;$G$7),VLOOKUP($B$1,Inventory!$A$1:$BC$500,35,FALSE),IF(AND(B329=$G$7,pmt_timing="End"),VLOOKUP($B$1,Inventory!$A$1:$BC$500,35,FALSE),0))</f>
        <v>#N/A</v>
      </c>
      <c r="E329" s="78">
        <v>0</v>
      </c>
      <c r="F329" s="78">
        <v>0</v>
      </c>
      <c r="G329" s="78">
        <v>0</v>
      </c>
      <c r="H329" s="78">
        <v>0</v>
      </c>
      <c r="I329" s="78">
        <v>0</v>
      </c>
      <c r="J329" s="78">
        <v>0</v>
      </c>
      <c r="K329" s="78">
        <v>0</v>
      </c>
      <c r="L329" s="36" t="e">
        <f t="shared" ca="1" si="72"/>
        <v>#N/A</v>
      </c>
      <c r="M329" s="37" t="e">
        <f t="shared" ca="1" si="70"/>
        <v>#N/A</v>
      </c>
      <c r="N329" s="37" t="e">
        <f t="shared" ca="1" si="71"/>
        <v>#N/A</v>
      </c>
      <c r="P329" s="35" t="e">
        <f t="shared" ca="1" si="78"/>
        <v>#N/A</v>
      </c>
      <c r="Q329" s="59" t="e">
        <f t="shared" ca="1" si="73"/>
        <v>#N/A</v>
      </c>
      <c r="R329" s="44" t="e">
        <f t="shared" ca="1" si="74"/>
        <v>#N/A</v>
      </c>
      <c r="S329" s="37" t="e">
        <f ca="1">IF(P329="","",IF(P329="Total",SUM($S$19:S328),VLOOKUP($P329,$B$12:$L383,11,FALSE)))</f>
        <v>#N/A</v>
      </c>
      <c r="T329" s="44" t="e">
        <f ca="1">IF(payfreq="Annually",IF(P329="","",IF(P329="Total",SUM($T$19:T328),Adj_Rate*$R329)),IF(payfreq="Semiannually",IF(P329="","",IF(P329="Total",SUM($T$19:T328),Adj_Rate/2*$R329)),IF(payfreq="Quarterly",IF(P329="","",IF(P329="Total",SUM($T$19:T328),Adj_Rate/4*$R329)),IF(payfreq="Monthly",IF(P329="","",IF(P329="Total",SUM($T$19:T328),Adj_Rate/12*$R329)),""))))</f>
        <v>#N/A</v>
      </c>
      <c r="U329" s="37" t="e">
        <f t="shared" ca="1" si="75"/>
        <v>#N/A</v>
      </c>
      <c r="V329" s="44" t="e">
        <f t="shared" ca="1" si="76"/>
        <v>#N/A</v>
      </c>
    </row>
    <row r="330" spans="2:22">
      <c r="B330" s="38">
        <v>311</v>
      </c>
      <c r="C330" s="77" t="e">
        <f t="shared" ca="1" si="77"/>
        <v>#N/A</v>
      </c>
      <c r="D330" s="78" t="e">
        <f ca="1">+IF(AND(B330&lt;$G$7),VLOOKUP($B$1,Inventory!$A$1:$BC$500,35,FALSE),IF(AND(B330=$G$7,pmt_timing="End"),VLOOKUP($B$1,Inventory!$A$1:$BC$500,35,FALSE),0))</f>
        <v>#N/A</v>
      </c>
      <c r="E330" s="78">
        <v>0</v>
      </c>
      <c r="F330" s="78">
        <v>0</v>
      </c>
      <c r="G330" s="78">
        <v>0</v>
      </c>
      <c r="H330" s="78">
        <v>0</v>
      </c>
      <c r="I330" s="78">
        <v>0</v>
      </c>
      <c r="J330" s="78">
        <v>0</v>
      </c>
      <c r="K330" s="78">
        <v>0</v>
      </c>
      <c r="L330" s="36" t="e">
        <f t="shared" ca="1" si="72"/>
        <v>#N/A</v>
      </c>
      <c r="M330" s="37" t="e">
        <f t="shared" ca="1" si="70"/>
        <v>#N/A</v>
      </c>
      <c r="N330" s="37" t="e">
        <f t="shared" ca="1" si="71"/>
        <v>#N/A</v>
      </c>
      <c r="P330" s="35" t="e">
        <f t="shared" ca="1" si="78"/>
        <v>#N/A</v>
      </c>
      <c r="Q330" s="59" t="e">
        <f t="shared" ca="1" si="73"/>
        <v>#N/A</v>
      </c>
      <c r="R330" s="44" t="e">
        <f t="shared" ca="1" si="74"/>
        <v>#N/A</v>
      </c>
      <c r="S330" s="37" t="e">
        <f ca="1">IF(P330="","",IF(P330="Total",SUM($S$19:S329),VLOOKUP($P330,$B$12:$L384,11,FALSE)))</f>
        <v>#N/A</v>
      </c>
      <c r="T330" s="44" t="e">
        <f ca="1">IF(payfreq="Annually",IF(P330="","",IF(P330="Total",SUM($T$19:T329),Adj_Rate*$R330)),IF(payfreq="Semiannually",IF(P330="","",IF(P330="Total",SUM($T$19:T329),Adj_Rate/2*$R330)),IF(payfreq="Quarterly",IF(P330="","",IF(P330="Total",SUM($T$19:T329),Adj_Rate/4*$R330)),IF(payfreq="Monthly",IF(P330="","",IF(P330="Total",SUM($T$19:T329),Adj_Rate/12*$R330)),""))))</f>
        <v>#N/A</v>
      </c>
      <c r="U330" s="37" t="e">
        <f t="shared" ca="1" si="75"/>
        <v>#N/A</v>
      </c>
      <c r="V330" s="44" t="e">
        <f t="shared" ca="1" si="76"/>
        <v>#N/A</v>
      </c>
    </row>
    <row r="331" spans="2:22">
      <c r="B331" s="38">
        <v>312</v>
      </c>
      <c r="C331" s="77" t="e">
        <f t="shared" ca="1" si="77"/>
        <v>#N/A</v>
      </c>
      <c r="D331" s="78" t="e">
        <f ca="1">+IF(AND(B331&lt;$G$7),VLOOKUP($B$1,Inventory!$A$1:$BC$500,35,FALSE),IF(AND(B331=$G$7,pmt_timing="End"),VLOOKUP($B$1,Inventory!$A$1:$BC$500,35,FALSE),0))</f>
        <v>#N/A</v>
      </c>
      <c r="E331" s="78">
        <v>0</v>
      </c>
      <c r="F331" s="78">
        <v>0</v>
      </c>
      <c r="G331" s="78">
        <v>0</v>
      </c>
      <c r="H331" s="78">
        <v>0</v>
      </c>
      <c r="I331" s="78">
        <v>0</v>
      </c>
      <c r="J331" s="78">
        <v>0</v>
      </c>
      <c r="K331" s="78">
        <v>0</v>
      </c>
      <c r="L331" s="36" t="e">
        <f t="shared" ca="1" si="72"/>
        <v>#N/A</v>
      </c>
      <c r="M331" s="37" t="e">
        <f t="shared" ca="1" si="70"/>
        <v>#N/A</v>
      </c>
      <c r="N331" s="37" t="e">
        <f t="shared" ca="1" si="71"/>
        <v>#N/A</v>
      </c>
      <c r="P331" s="35" t="e">
        <f t="shared" ca="1" si="78"/>
        <v>#N/A</v>
      </c>
      <c r="Q331" s="59" t="e">
        <f t="shared" ca="1" si="73"/>
        <v>#N/A</v>
      </c>
      <c r="R331" s="44" t="e">
        <f t="shared" ca="1" si="74"/>
        <v>#N/A</v>
      </c>
      <c r="S331" s="37" t="e">
        <f ca="1">IF(P331="","",IF(P331="Total",SUM($S$19:S330),VLOOKUP($P331,$B$12:$L385,11,FALSE)))</f>
        <v>#N/A</v>
      </c>
      <c r="T331" s="44" t="e">
        <f ca="1">IF(payfreq="Annually",IF(P331="","",IF(P331="Total",SUM($T$19:T330),Adj_Rate*$R331)),IF(payfreq="Semiannually",IF(P331="","",IF(P331="Total",SUM($T$19:T330),Adj_Rate/2*$R331)),IF(payfreq="Quarterly",IF(P331="","",IF(P331="Total",SUM($T$19:T330),Adj_Rate/4*$R331)),IF(payfreq="Monthly",IF(P331="","",IF(P331="Total",SUM($T$19:T330),Adj_Rate/12*$R331)),""))))</f>
        <v>#N/A</v>
      </c>
      <c r="U331" s="37" t="e">
        <f t="shared" ca="1" si="75"/>
        <v>#N/A</v>
      </c>
      <c r="V331" s="44" t="e">
        <f t="shared" ca="1" si="76"/>
        <v>#N/A</v>
      </c>
    </row>
    <row r="332" spans="2:22">
      <c r="B332" s="38">
        <v>313</v>
      </c>
      <c r="C332" s="77" t="e">
        <f t="shared" ca="1" si="77"/>
        <v>#N/A</v>
      </c>
      <c r="D332" s="78" t="e">
        <f ca="1">+IF(AND(B332&lt;$G$7),VLOOKUP($B$1,Inventory!$A$1:$BC$500,35,FALSE),IF(AND(B332=$G$7,pmt_timing="End"),VLOOKUP($B$1,Inventory!$A$1:$BC$500,35,FALSE),0))</f>
        <v>#N/A</v>
      </c>
      <c r="E332" s="78">
        <v>0</v>
      </c>
      <c r="F332" s="78">
        <v>0</v>
      </c>
      <c r="G332" s="78">
        <v>0</v>
      </c>
      <c r="H332" s="78">
        <v>0</v>
      </c>
      <c r="I332" s="78">
        <v>0</v>
      </c>
      <c r="J332" s="78">
        <v>0</v>
      </c>
      <c r="K332" s="78">
        <v>0</v>
      </c>
      <c r="L332" s="36" t="e">
        <f t="shared" ca="1" si="72"/>
        <v>#N/A</v>
      </c>
      <c r="M332" s="37" t="e">
        <f t="shared" ca="1" si="70"/>
        <v>#N/A</v>
      </c>
      <c r="N332" s="37" t="e">
        <f t="shared" ca="1" si="71"/>
        <v>#N/A</v>
      </c>
      <c r="P332" s="35" t="e">
        <f t="shared" ca="1" si="78"/>
        <v>#N/A</v>
      </c>
      <c r="Q332" s="59" t="e">
        <f t="shared" ca="1" si="73"/>
        <v>#N/A</v>
      </c>
      <c r="R332" s="44" t="e">
        <f t="shared" ca="1" si="74"/>
        <v>#N/A</v>
      </c>
      <c r="S332" s="37" t="e">
        <f ca="1">IF(P332="","",IF(P332="Total",SUM($S$19:S331),VLOOKUP($P332,$B$12:$L386,11,FALSE)))</f>
        <v>#N/A</v>
      </c>
      <c r="T332" s="44" t="e">
        <f ca="1">IF(payfreq="Annually",IF(P332="","",IF(P332="Total",SUM($T$19:T331),Adj_Rate*$R332)),IF(payfreq="Semiannually",IF(P332="","",IF(P332="Total",SUM($T$19:T331),Adj_Rate/2*$R332)),IF(payfreq="Quarterly",IF(P332="","",IF(P332="Total",SUM($T$19:T331),Adj_Rate/4*$R332)),IF(payfreq="Monthly",IF(P332="","",IF(P332="Total",SUM($T$19:T331),Adj_Rate/12*$R332)),""))))</f>
        <v>#N/A</v>
      </c>
      <c r="U332" s="37" t="e">
        <f t="shared" ca="1" si="75"/>
        <v>#N/A</v>
      </c>
      <c r="V332" s="44" t="e">
        <f t="shared" ca="1" si="76"/>
        <v>#N/A</v>
      </c>
    </row>
    <row r="333" spans="2:22">
      <c r="B333" s="38">
        <v>314</v>
      </c>
      <c r="C333" s="77" t="e">
        <f t="shared" ca="1" si="77"/>
        <v>#N/A</v>
      </c>
      <c r="D333" s="78" t="e">
        <f ca="1">+IF(AND(B333&lt;$G$7),VLOOKUP($B$1,Inventory!$A$1:$BC$500,35,FALSE),IF(AND(B333=$G$7,pmt_timing="End"),VLOOKUP($B$1,Inventory!$A$1:$BC$500,35,FALSE),0))</f>
        <v>#N/A</v>
      </c>
      <c r="E333" s="78">
        <v>0</v>
      </c>
      <c r="F333" s="78">
        <v>0</v>
      </c>
      <c r="G333" s="78">
        <v>0</v>
      </c>
      <c r="H333" s="78">
        <v>0</v>
      </c>
      <c r="I333" s="78">
        <v>0</v>
      </c>
      <c r="J333" s="78">
        <v>0</v>
      </c>
      <c r="K333" s="78">
        <v>0</v>
      </c>
      <c r="L333" s="36" t="e">
        <f t="shared" ca="1" si="72"/>
        <v>#N/A</v>
      </c>
      <c r="M333" s="37" t="e">
        <f t="shared" ca="1" si="70"/>
        <v>#N/A</v>
      </c>
      <c r="N333" s="37" t="e">
        <f t="shared" ca="1" si="71"/>
        <v>#N/A</v>
      </c>
      <c r="P333" s="35" t="e">
        <f t="shared" ca="1" si="78"/>
        <v>#N/A</v>
      </c>
      <c r="Q333" s="59" t="e">
        <f t="shared" ca="1" si="73"/>
        <v>#N/A</v>
      </c>
      <c r="R333" s="44" t="e">
        <f t="shared" ca="1" si="74"/>
        <v>#N/A</v>
      </c>
      <c r="S333" s="37" t="e">
        <f ca="1">IF(P333="","",IF(P333="Total",SUM($S$19:S332),VLOOKUP($P333,$B$12:$L387,11,FALSE)))</f>
        <v>#N/A</v>
      </c>
      <c r="T333" s="44" t="e">
        <f ca="1">IF(payfreq="Annually",IF(P333="","",IF(P333="Total",SUM($T$19:T332),Adj_Rate*$R333)),IF(payfreq="Semiannually",IF(P333="","",IF(P333="Total",SUM($T$19:T332),Adj_Rate/2*$R333)),IF(payfreq="Quarterly",IF(P333="","",IF(P333="Total",SUM($T$19:T332),Adj_Rate/4*$R333)),IF(payfreq="Monthly",IF(P333="","",IF(P333="Total",SUM($T$19:T332),Adj_Rate/12*$R333)),""))))</f>
        <v>#N/A</v>
      </c>
      <c r="U333" s="37" t="e">
        <f t="shared" ca="1" si="75"/>
        <v>#N/A</v>
      </c>
      <c r="V333" s="44" t="e">
        <f t="shared" ca="1" si="76"/>
        <v>#N/A</v>
      </c>
    </row>
    <row r="334" spans="2:22">
      <c r="B334" s="38">
        <v>315</v>
      </c>
      <c r="C334" s="77" t="e">
        <f t="shared" ca="1" si="77"/>
        <v>#N/A</v>
      </c>
      <c r="D334" s="78" t="e">
        <f ca="1">+IF(AND(B334&lt;$G$7),VLOOKUP($B$1,Inventory!$A$1:$BC$500,35,FALSE),IF(AND(B334=$G$7,pmt_timing="End"),VLOOKUP($B$1,Inventory!$A$1:$BC$500,35,FALSE),0))</f>
        <v>#N/A</v>
      </c>
      <c r="E334" s="78">
        <v>0</v>
      </c>
      <c r="F334" s="78">
        <v>0</v>
      </c>
      <c r="G334" s="78">
        <v>0</v>
      </c>
      <c r="H334" s="78">
        <v>0</v>
      </c>
      <c r="I334" s="78">
        <v>0</v>
      </c>
      <c r="J334" s="78">
        <v>0</v>
      </c>
      <c r="K334" s="78">
        <v>0</v>
      </c>
      <c r="L334" s="36" t="e">
        <f t="shared" ca="1" si="72"/>
        <v>#N/A</v>
      </c>
      <c r="M334" s="37" t="e">
        <f t="shared" ca="1" si="70"/>
        <v>#N/A</v>
      </c>
      <c r="N334" s="37" t="e">
        <f t="shared" ca="1" si="71"/>
        <v>#N/A</v>
      </c>
      <c r="P334" s="35" t="e">
        <f t="shared" ca="1" si="78"/>
        <v>#N/A</v>
      </c>
      <c r="Q334" s="59" t="e">
        <f t="shared" ca="1" si="73"/>
        <v>#N/A</v>
      </c>
      <c r="R334" s="44" t="e">
        <f t="shared" ca="1" si="74"/>
        <v>#N/A</v>
      </c>
      <c r="S334" s="37" t="e">
        <f ca="1">IF(P334="","",IF(P334="Total",SUM($S$19:S333),VLOOKUP($P334,$B$12:$L388,11,FALSE)))</f>
        <v>#N/A</v>
      </c>
      <c r="T334" s="44" t="e">
        <f ca="1">IF(payfreq="Annually",IF(P334="","",IF(P334="Total",SUM($T$19:T333),Adj_Rate*$R334)),IF(payfreq="Semiannually",IF(P334="","",IF(P334="Total",SUM($T$19:T333),Adj_Rate/2*$R334)),IF(payfreq="Quarterly",IF(P334="","",IF(P334="Total",SUM($T$19:T333),Adj_Rate/4*$R334)),IF(payfreq="Monthly",IF(P334="","",IF(P334="Total",SUM($T$19:T333),Adj_Rate/12*$R334)),""))))</f>
        <v>#N/A</v>
      </c>
      <c r="U334" s="37" t="e">
        <f t="shared" ca="1" si="75"/>
        <v>#N/A</v>
      </c>
      <c r="V334" s="44" t="e">
        <f t="shared" ca="1" si="76"/>
        <v>#N/A</v>
      </c>
    </row>
    <row r="335" spans="2:22">
      <c r="B335" s="38">
        <v>316</v>
      </c>
      <c r="C335" s="77" t="e">
        <f t="shared" ca="1" si="77"/>
        <v>#N/A</v>
      </c>
      <c r="D335" s="78" t="e">
        <f ca="1">+IF(AND(B335&lt;$G$7),VLOOKUP($B$1,Inventory!$A$1:$BC$500,35,FALSE),IF(AND(B335=$G$7,pmt_timing="End"),VLOOKUP($B$1,Inventory!$A$1:$BC$500,35,FALSE),0))</f>
        <v>#N/A</v>
      </c>
      <c r="E335" s="78">
        <v>0</v>
      </c>
      <c r="F335" s="78">
        <v>0</v>
      </c>
      <c r="G335" s="78">
        <v>0</v>
      </c>
      <c r="H335" s="78">
        <v>0</v>
      </c>
      <c r="I335" s="78">
        <v>0</v>
      </c>
      <c r="J335" s="78">
        <v>0</v>
      </c>
      <c r="K335" s="78">
        <v>0</v>
      </c>
      <c r="L335" s="36" t="e">
        <f t="shared" ca="1" si="72"/>
        <v>#N/A</v>
      </c>
      <c r="M335" s="37" t="e">
        <f t="shared" ca="1" si="70"/>
        <v>#N/A</v>
      </c>
      <c r="N335" s="37" t="e">
        <f t="shared" ca="1" si="71"/>
        <v>#N/A</v>
      </c>
      <c r="P335" s="35" t="e">
        <f t="shared" ca="1" si="78"/>
        <v>#N/A</v>
      </c>
      <c r="Q335" s="59" t="e">
        <f t="shared" ca="1" si="73"/>
        <v>#N/A</v>
      </c>
      <c r="R335" s="44" t="e">
        <f t="shared" ca="1" si="74"/>
        <v>#N/A</v>
      </c>
      <c r="S335" s="37" t="e">
        <f ca="1">IF(P335="","",IF(P335="Total",SUM($S$19:S334),VLOOKUP($P335,$B$12:$L389,11,FALSE)))</f>
        <v>#N/A</v>
      </c>
      <c r="T335" s="44" t="e">
        <f ca="1">IF(payfreq="Annually",IF(P335="","",IF(P335="Total",SUM($T$19:T334),Adj_Rate*$R335)),IF(payfreq="Semiannually",IF(P335="","",IF(P335="Total",SUM($T$19:T334),Adj_Rate/2*$R335)),IF(payfreq="Quarterly",IF(P335="","",IF(P335="Total",SUM($T$19:T334),Adj_Rate/4*$R335)),IF(payfreq="Monthly",IF(P335="","",IF(P335="Total",SUM($T$19:T334),Adj_Rate/12*$R335)),""))))</f>
        <v>#N/A</v>
      </c>
      <c r="U335" s="37" t="e">
        <f t="shared" ca="1" si="75"/>
        <v>#N/A</v>
      </c>
      <c r="V335" s="44" t="e">
        <f t="shared" ca="1" si="76"/>
        <v>#N/A</v>
      </c>
    </row>
    <row r="336" spans="2:22">
      <c r="B336" s="38">
        <v>317</v>
      </c>
      <c r="C336" s="77" t="e">
        <f t="shared" ca="1" si="77"/>
        <v>#N/A</v>
      </c>
      <c r="D336" s="78" t="e">
        <f ca="1">+IF(AND(B336&lt;$G$7),VLOOKUP($B$1,Inventory!$A$1:$BC$500,35,FALSE),IF(AND(B336=$G$7,pmt_timing="End"),VLOOKUP($B$1,Inventory!$A$1:$BC$500,35,FALSE),0))</f>
        <v>#N/A</v>
      </c>
      <c r="E336" s="78">
        <v>0</v>
      </c>
      <c r="F336" s="78">
        <v>0</v>
      </c>
      <c r="G336" s="78">
        <v>0</v>
      </c>
      <c r="H336" s="78">
        <v>0</v>
      </c>
      <c r="I336" s="78">
        <v>0</v>
      </c>
      <c r="J336" s="78">
        <v>0</v>
      </c>
      <c r="K336" s="78">
        <v>0</v>
      </c>
      <c r="L336" s="36" t="e">
        <f t="shared" ca="1" si="72"/>
        <v>#N/A</v>
      </c>
      <c r="M336" s="37" t="e">
        <f t="shared" ca="1" si="70"/>
        <v>#N/A</v>
      </c>
      <c r="N336" s="37" t="e">
        <f t="shared" ca="1" si="71"/>
        <v>#N/A</v>
      </c>
      <c r="P336" s="35" t="e">
        <f t="shared" ca="1" si="78"/>
        <v>#N/A</v>
      </c>
      <c r="Q336" s="59" t="e">
        <f t="shared" ca="1" si="73"/>
        <v>#N/A</v>
      </c>
      <c r="R336" s="44" t="e">
        <f t="shared" ca="1" si="74"/>
        <v>#N/A</v>
      </c>
      <c r="S336" s="37" t="e">
        <f ca="1">IF(P336="","",IF(P336="Total",SUM($S$19:S335),VLOOKUP($P336,$B$12:$L390,11,FALSE)))</f>
        <v>#N/A</v>
      </c>
      <c r="T336" s="44" t="e">
        <f ca="1">IF(payfreq="Annually",IF(P336="","",IF(P336="Total",SUM($T$19:T335),Adj_Rate*$R336)),IF(payfreq="Semiannually",IF(P336="","",IF(P336="Total",SUM($T$19:T335),Adj_Rate/2*$R336)),IF(payfreq="Quarterly",IF(P336="","",IF(P336="Total",SUM($T$19:T335),Adj_Rate/4*$R336)),IF(payfreq="Monthly",IF(P336="","",IF(P336="Total",SUM($T$19:T335),Adj_Rate/12*$R336)),""))))</f>
        <v>#N/A</v>
      </c>
      <c r="U336" s="37" t="e">
        <f t="shared" ca="1" si="75"/>
        <v>#N/A</v>
      </c>
      <c r="V336" s="44" t="e">
        <f t="shared" ca="1" si="76"/>
        <v>#N/A</v>
      </c>
    </row>
    <row r="337" spans="2:22">
      <c r="B337" s="38">
        <v>318</v>
      </c>
      <c r="C337" s="77" t="e">
        <f t="shared" ca="1" si="77"/>
        <v>#N/A</v>
      </c>
      <c r="D337" s="78" t="e">
        <f ca="1">+IF(AND(B337&lt;$G$7),VLOOKUP($B$1,Inventory!$A$1:$BC$500,35,FALSE),IF(AND(B337=$G$7,pmt_timing="End"),VLOOKUP($B$1,Inventory!$A$1:$BC$500,35,FALSE),0))</f>
        <v>#N/A</v>
      </c>
      <c r="E337" s="78">
        <v>0</v>
      </c>
      <c r="F337" s="78">
        <v>0</v>
      </c>
      <c r="G337" s="78">
        <v>0</v>
      </c>
      <c r="H337" s="78">
        <v>0</v>
      </c>
      <c r="I337" s="78">
        <v>0</v>
      </c>
      <c r="J337" s="78">
        <v>0</v>
      </c>
      <c r="K337" s="78">
        <v>0</v>
      </c>
      <c r="L337" s="36" t="e">
        <f t="shared" ca="1" si="72"/>
        <v>#N/A</v>
      </c>
      <c r="M337" s="37" t="e">
        <f t="shared" ca="1" si="70"/>
        <v>#N/A</v>
      </c>
      <c r="N337" s="37" t="e">
        <f t="shared" ca="1" si="71"/>
        <v>#N/A</v>
      </c>
      <c r="P337" s="35" t="e">
        <f t="shared" ca="1" si="78"/>
        <v>#N/A</v>
      </c>
      <c r="Q337" s="59" t="e">
        <f t="shared" ca="1" si="73"/>
        <v>#N/A</v>
      </c>
      <c r="R337" s="44" t="e">
        <f t="shared" ca="1" si="74"/>
        <v>#N/A</v>
      </c>
      <c r="S337" s="37" t="e">
        <f ca="1">IF(P337="","",IF(P337="Total",SUM($S$19:S336),VLOOKUP($P337,$B$12:$L391,11,FALSE)))</f>
        <v>#N/A</v>
      </c>
      <c r="T337" s="44" t="e">
        <f ca="1">IF(payfreq="Annually",IF(P337="","",IF(P337="Total",SUM($T$19:T336),Adj_Rate*$R337)),IF(payfreq="Semiannually",IF(P337="","",IF(P337="Total",SUM($T$19:T336),Adj_Rate/2*$R337)),IF(payfreq="Quarterly",IF(P337="","",IF(P337="Total",SUM($T$19:T336),Adj_Rate/4*$R337)),IF(payfreq="Monthly",IF(P337="","",IF(P337="Total",SUM($T$19:T336),Adj_Rate/12*$R337)),""))))</f>
        <v>#N/A</v>
      </c>
      <c r="U337" s="37" t="e">
        <f t="shared" ca="1" si="75"/>
        <v>#N/A</v>
      </c>
      <c r="V337" s="44" t="e">
        <f t="shared" ca="1" si="76"/>
        <v>#N/A</v>
      </c>
    </row>
    <row r="338" spans="2:22">
      <c r="B338" s="38" t="e">
        <f ca="1">IF(B337&lt;term,B337+1,"")</f>
        <v>#N/A</v>
      </c>
      <c r="C338" s="77" t="e">
        <f t="shared" ca="1" si="77"/>
        <v>#N/A</v>
      </c>
      <c r="D338" s="78" t="e">
        <f ca="1">+IF(AND(B338&lt;$G$7),VLOOKUP($B$1,Inventory!$A$1:$BC$500,35,FALSE),IF(AND(B338=$G$7,pmt_timing="End"),VLOOKUP($B$1,Inventory!$A$1:$BC$500,35,FALSE),0))</f>
        <v>#N/A</v>
      </c>
      <c r="E338" s="78">
        <v>0</v>
      </c>
      <c r="F338" s="78">
        <v>0</v>
      </c>
      <c r="G338" s="78">
        <v>0</v>
      </c>
      <c r="H338" s="78">
        <v>0</v>
      </c>
      <c r="I338" s="78">
        <v>0</v>
      </c>
      <c r="J338" s="78">
        <v>0</v>
      </c>
      <c r="K338" s="78">
        <v>0</v>
      </c>
      <c r="L338" s="36" t="e">
        <f t="shared" ca="1" si="72"/>
        <v>#N/A</v>
      </c>
      <c r="M338" s="37" t="e">
        <f t="shared" ref="M338:M401" ca="1" si="79">IF(pmt_timing="End",IF($B338&gt;term, "",$L338/(1+Adj_Rate/12)^B338),"")</f>
        <v>#N/A</v>
      </c>
      <c r="N338" s="37" t="e">
        <f t="shared" ca="1" si="71"/>
        <v>#N/A</v>
      </c>
      <c r="P338" s="35" t="e">
        <f t="shared" ca="1" si="78"/>
        <v>#N/A</v>
      </c>
      <c r="Q338" s="59" t="e">
        <f t="shared" ca="1" si="73"/>
        <v>#N/A</v>
      </c>
      <c r="R338" s="44" t="e">
        <f t="shared" ca="1" si="74"/>
        <v>#N/A</v>
      </c>
      <c r="S338" s="37" t="e">
        <f ca="1">IF(P338="","",IF(P338="Total",SUM($S$19:S337),VLOOKUP($P338,$B$12:$L392,11,FALSE)))</f>
        <v>#N/A</v>
      </c>
      <c r="T338" s="44" t="e">
        <f ca="1">IF(payfreq="Annually",IF(P338="","",IF(P338="Total",SUM($T$19:T337),Adj_Rate*$R338)),IF(payfreq="Semiannually",IF(P338="","",IF(P338="Total",SUM($T$19:T337),Adj_Rate/2*$R338)),IF(payfreq="Quarterly",IF(P338="","",IF(P338="Total",SUM($T$19:T337),Adj_Rate/4*$R338)),IF(payfreq="Monthly",IF(P338="","",IF(P338="Total",SUM($T$19:T337),Adj_Rate/12*$R338)),""))))</f>
        <v>#N/A</v>
      </c>
      <c r="U338" s="37" t="e">
        <f t="shared" ca="1" si="75"/>
        <v>#N/A</v>
      </c>
      <c r="V338" s="44" t="e">
        <f t="shared" ca="1" si="76"/>
        <v>#N/A</v>
      </c>
    </row>
    <row r="339" spans="2:22">
      <c r="B339" s="38" t="e">
        <f t="shared" ref="B339:B340" ca="1" si="80">IF(B338&lt;term,B338+1,"")</f>
        <v>#N/A</v>
      </c>
      <c r="C339" s="77" t="e">
        <f t="shared" ca="1" si="77"/>
        <v>#N/A</v>
      </c>
      <c r="D339" s="78" t="e">
        <f ca="1">+IF(AND(B339&lt;$G$7),VLOOKUP($B$1,Inventory!$A$1:$BC$500,35,FALSE),IF(AND(B339=$G$7,pmt_timing="End"),VLOOKUP($B$1,Inventory!$A$1:$BC$500,35,FALSE),0))</f>
        <v>#N/A</v>
      </c>
      <c r="E339" s="78">
        <v>0</v>
      </c>
      <c r="F339" s="78">
        <v>0</v>
      </c>
      <c r="G339" s="78">
        <v>0</v>
      </c>
      <c r="H339" s="78">
        <v>0</v>
      </c>
      <c r="I339" s="78">
        <v>0</v>
      </c>
      <c r="J339" s="78">
        <v>0</v>
      </c>
      <c r="K339" s="78">
        <v>0</v>
      </c>
      <c r="L339" s="36" t="e">
        <f t="shared" ca="1" si="72"/>
        <v>#N/A</v>
      </c>
      <c r="M339" s="37" t="e">
        <f t="shared" ca="1" si="79"/>
        <v>#N/A</v>
      </c>
      <c r="N339" s="37" t="e">
        <f t="shared" ref="N339:N402" ca="1" si="81">IF(AND(payfreq="Annually",pmt_timing="Beginning",$B339&lt;=term),$L339/(1+Adj_Rate)^($B339),IF(AND(payfreq="Semiannually",pmt_timing="Beginning",$B339&lt;=term),$L339/(1+Adj_Rate/2)^($B339),IF(AND(payfreq="Quarterly",pmt_timing="Beginning",$B339&lt;=term),$L339/(1+Adj_Rate/4)^($B339),IF(AND(payfreq="Monthly",pmt_timing="Beginning",$B339&lt;=term),$L339/(1+Adj_Rate/12)^($B339),""))))</f>
        <v>#N/A</v>
      </c>
      <c r="P339" s="35" t="e">
        <f t="shared" ca="1" si="78"/>
        <v>#N/A</v>
      </c>
      <c r="Q339" s="59" t="e">
        <f t="shared" ca="1" si="73"/>
        <v>#N/A</v>
      </c>
      <c r="R339" s="44" t="e">
        <f t="shared" ca="1" si="74"/>
        <v>#N/A</v>
      </c>
      <c r="S339" s="37" t="e">
        <f ca="1">IF(P339="","",IF(P339="Total",SUM($S$19:S338),VLOOKUP($P339,$B$12:$L393,11,FALSE)))</f>
        <v>#N/A</v>
      </c>
      <c r="T339" s="44" t="e">
        <f ca="1">IF(payfreq="Annually",IF(P339="","",IF(P339="Total",SUM($T$19:T338),Adj_Rate*$R339)),IF(payfreq="Semiannually",IF(P339="","",IF(P339="Total",SUM($T$19:T338),Adj_Rate/2*$R339)),IF(payfreq="Quarterly",IF(P339="","",IF(P339="Total",SUM($T$19:T338),Adj_Rate/4*$R339)),IF(payfreq="Monthly",IF(P339="","",IF(P339="Total",SUM($T$19:T338),Adj_Rate/12*$R339)),""))))</f>
        <v>#N/A</v>
      </c>
      <c r="U339" s="37" t="e">
        <f t="shared" ca="1" si="75"/>
        <v>#N/A</v>
      </c>
      <c r="V339" s="44" t="e">
        <f t="shared" ca="1" si="76"/>
        <v>#N/A</v>
      </c>
    </row>
    <row r="340" spans="2:22">
      <c r="B340" s="38" t="e">
        <f t="shared" ca="1" si="80"/>
        <v>#N/A</v>
      </c>
      <c r="C340" s="77" t="e">
        <f t="shared" ca="1" si="77"/>
        <v>#N/A</v>
      </c>
      <c r="D340" s="78" t="e">
        <f ca="1">+IF(AND(B340&lt;$G$7),VLOOKUP($B$1,Inventory!$A$1:$BC$500,35,FALSE),IF(AND(B340=$G$7,pmt_timing="End"),VLOOKUP($B$1,Inventory!$A$1:$BC$500,35,FALSE),0))</f>
        <v>#N/A</v>
      </c>
      <c r="E340" s="78">
        <v>0</v>
      </c>
      <c r="F340" s="78">
        <v>0</v>
      </c>
      <c r="G340" s="78">
        <v>0</v>
      </c>
      <c r="H340" s="78">
        <v>0</v>
      </c>
      <c r="I340" s="78">
        <v>0</v>
      </c>
      <c r="J340" s="78">
        <v>0</v>
      </c>
      <c r="K340" s="78">
        <v>0</v>
      </c>
      <c r="L340" s="36" t="e">
        <f t="shared" ref="L340:L403" ca="1" si="82">SUM(D340:K340)</f>
        <v>#N/A</v>
      </c>
      <c r="M340" s="37" t="e">
        <f t="shared" ca="1" si="79"/>
        <v>#N/A</v>
      </c>
      <c r="N340" s="37" t="e">
        <f t="shared" ca="1" si="81"/>
        <v>#N/A</v>
      </c>
      <c r="P340" s="35" t="e">
        <f t="shared" ca="1" si="78"/>
        <v>#N/A</v>
      </c>
      <c r="Q340" s="59" t="e">
        <f t="shared" ref="Q340:Q403" ca="1" si="83">IF(P340="","",IF(P340="total","",IF(payfreq="Annually",DATE(YEAR(Q339)+1,MONTH(Q339),DAY(Q339)),IF(payfreq="Semiannually",DATE(YEAR(Q339),MONTH(Q339)+6,DAY(Q339)),IF(payfreq="Quarterly",DATE(YEAR(Q339),MONTH(Q339)+3,DAY(Q339)),IF(payfreq="Monthly",DATE(YEAR(Q339),MONTH(Q339)+1,DAY(Q339))))))))</f>
        <v>#N/A</v>
      </c>
      <c r="R340" s="44" t="e">
        <f t="shared" ref="R340:R403" ca="1" si="84">IF(OR(P340="",P340="Total"),"",V339)</f>
        <v>#N/A</v>
      </c>
      <c r="S340" s="37" t="e">
        <f ca="1">IF(P340="","",IF(P340="Total",SUM($S$19:S339),VLOOKUP($P340,$B$12:$L394,11,FALSE)))</f>
        <v>#N/A</v>
      </c>
      <c r="T340" s="44" t="e">
        <f ca="1">IF(payfreq="Annually",IF(P340="","",IF(P340="Total",SUM($T$19:T339),Adj_Rate*$R340)),IF(payfreq="Semiannually",IF(P340="","",IF(P340="Total",SUM($T$19:T339),Adj_Rate/2*$R340)),IF(payfreq="Quarterly",IF(P340="","",IF(P340="Total",SUM($T$19:T339),Adj_Rate/4*$R340)),IF(payfreq="Monthly",IF(P340="","",IF(P340="Total",SUM($T$19:T339),Adj_Rate/12*$R340)),""))))</f>
        <v>#N/A</v>
      </c>
      <c r="U340" s="37" t="e">
        <f t="shared" ref="U340:U403" ca="1" si="85">+IF(S340="","",S340-T340)</f>
        <v>#N/A</v>
      </c>
      <c r="V340" s="44" t="e">
        <f t="shared" ref="V340:V403" ca="1" si="86">IF(OR(P340="",P340="Total"),"",R340+T340-S340)</f>
        <v>#N/A</v>
      </c>
    </row>
    <row r="341" spans="2:22">
      <c r="B341" s="38" t="e">
        <f t="shared" ref="B341:B404" ca="1" si="87">IF(B340&lt;term,B340+1,"")</f>
        <v>#N/A</v>
      </c>
      <c r="C341" s="77" t="e">
        <f t="shared" ref="C341:C404" ca="1" si="88">IF(Q341 &lt;&gt; "",Q341, "")</f>
        <v>#N/A</v>
      </c>
      <c r="D341" s="78" t="e">
        <f ca="1">+IF(AND(B341&lt;$G$7),VLOOKUP($B$1,Inventory!$A$1:$BC$500,35,FALSE),IF(AND(B341=$G$7,pmt_timing="End"),VLOOKUP($B$1,Inventory!$A$1:$BC$500,35,FALSE),0))</f>
        <v>#N/A</v>
      </c>
      <c r="E341" s="78">
        <v>0</v>
      </c>
      <c r="F341" s="78">
        <v>0</v>
      </c>
      <c r="G341" s="78">
        <v>0</v>
      </c>
      <c r="H341" s="78">
        <v>0</v>
      </c>
      <c r="I341" s="78">
        <v>0</v>
      </c>
      <c r="J341" s="78">
        <v>0</v>
      </c>
      <c r="K341" s="78">
        <v>0</v>
      </c>
      <c r="L341" s="36" t="e">
        <f t="shared" ca="1" si="82"/>
        <v>#N/A</v>
      </c>
      <c r="M341" s="37" t="e">
        <f t="shared" ca="1" si="79"/>
        <v>#N/A</v>
      </c>
      <c r="N341" s="37" t="e">
        <f t="shared" ca="1" si="81"/>
        <v>#N/A</v>
      </c>
      <c r="P341" s="35" t="e">
        <f t="shared" ref="P341:P404" ca="1" si="89">IF(P340&lt;term,P340+1,IF(P340=term,"Total",""))</f>
        <v>#N/A</v>
      </c>
      <c r="Q341" s="59" t="e">
        <f t="shared" ca="1" si="83"/>
        <v>#N/A</v>
      </c>
      <c r="R341" s="44" t="e">
        <f t="shared" ca="1" si="84"/>
        <v>#N/A</v>
      </c>
      <c r="S341" s="37" t="e">
        <f ca="1">IF(P341="","",IF(P341="Total",SUM($S$19:S340),VLOOKUP($P341,$B$12:$L395,11,FALSE)))</f>
        <v>#N/A</v>
      </c>
      <c r="T341" s="44" t="e">
        <f ca="1">IF(payfreq="Annually",IF(P341="","",IF(P341="Total",SUM($T$19:T340),Adj_Rate*$R341)),IF(payfreq="Semiannually",IF(P341="","",IF(P341="Total",SUM($T$19:T340),Adj_Rate/2*$R341)),IF(payfreq="Quarterly",IF(P341="","",IF(P341="Total",SUM($T$19:T340),Adj_Rate/4*$R341)),IF(payfreq="Monthly",IF(P341="","",IF(P341="Total",SUM($T$19:T340),Adj_Rate/12*$R341)),""))))</f>
        <v>#N/A</v>
      </c>
      <c r="U341" s="37" t="e">
        <f t="shared" ca="1" si="85"/>
        <v>#N/A</v>
      </c>
      <c r="V341" s="44" t="e">
        <f t="shared" ca="1" si="86"/>
        <v>#N/A</v>
      </c>
    </row>
    <row r="342" spans="2:22">
      <c r="B342" s="38" t="e">
        <f t="shared" ca="1" si="87"/>
        <v>#N/A</v>
      </c>
      <c r="C342" s="77" t="e">
        <f t="shared" ca="1" si="88"/>
        <v>#N/A</v>
      </c>
      <c r="D342" s="78" t="e">
        <f ca="1">+IF(AND(B342&lt;$G$7),VLOOKUP($B$1,Inventory!$A$1:$BC$500,35,FALSE),IF(AND(B342=$G$7,pmt_timing="End"),VLOOKUP($B$1,Inventory!$A$1:$BC$500,35,FALSE),0))</f>
        <v>#N/A</v>
      </c>
      <c r="E342" s="78">
        <v>0</v>
      </c>
      <c r="F342" s="78">
        <v>0</v>
      </c>
      <c r="G342" s="78">
        <v>0</v>
      </c>
      <c r="H342" s="78">
        <v>0</v>
      </c>
      <c r="I342" s="78">
        <v>0</v>
      </c>
      <c r="J342" s="78">
        <v>0</v>
      </c>
      <c r="K342" s="78">
        <v>0</v>
      </c>
      <c r="L342" s="36" t="e">
        <f t="shared" ca="1" si="82"/>
        <v>#N/A</v>
      </c>
      <c r="M342" s="37" t="e">
        <f t="shared" ca="1" si="79"/>
        <v>#N/A</v>
      </c>
      <c r="N342" s="37" t="e">
        <f t="shared" ca="1" si="81"/>
        <v>#N/A</v>
      </c>
      <c r="P342" s="35" t="e">
        <f t="shared" ca="1" si="89"/>
        <v>#N/A</v>
      </c>
      <c r="Q342" s="59" t="e">
        <f t="shared" ca="1" si="83"/>
        <v>#N/A</v>
      </c>
      <c r="R342" s="44" t="e">
        <f t="shared" ca="1" si="84"/>
        <v>#N/A</v>
      </c>
      <c r="S342" s="37" t="e">
        <f ca="1">IF(P342="","",IF(P342="Total",SUM($S$19:S341),VLOOKUP($P342,$B$12:$L396,11,FALSE)))</f>
        <v>#N/A</v>
      </c>
      <c r="T342" s="44" t="e">
        <f ca="1">IF(payfreq="Annually",IF(P342="","",IF(P342="Total",SUM($T$19:T341),Adj_Rate*$R342)),IF(payfreq="Semiannually",IF(P342="","",IF(P342="Total",SUM($T$19:T341),Adj_Rate/2*$R342)),IF(payfreq="Quarterly",IF(P342="","",IF(P342="Total",SUM($T$19:T341),Adj_Rate/4*$R342)),IF(payfreq="Monthly",IF(P342="","",IF(P342="Total",SUM($T$19:T341),Adj_Rate/12*$R342)),""))))</f>
        <v>#N/A</v>
      </c>
      <c r="U342" s="37" t="e">
        <f t="shared" ca="1" si="85"/>
        <v>#N/A</v>
      </c>
      <c r="V342" s="44" t="e">
        <f t="shared" ca="1" si="86"/>
        <v>#N/A</v>
      </c>
    </row>
    <row r="343" spans="2:22">
      <c r="B343" s="38" t="e">
        <f t="shared" ca="1" si="87"/>
        <v>#N/A</v>
      </c>
      <c r="C343" s="77" t="e">
        <f t="shared" ca="1" si="88"/>
        <v>#N/A</v>
      </c>
      <c r="D343" s="78" t="e">
        <f ca="1">+IF(AND(B343&lt;$G$7),VLOOKUP($B$1,Inventory!$A$1:$BC$500,35,FALSE),IF(AND(B343=$G$7,pmt_timing="End"),VLOOKUP($B$1,Inventory!$A$1:$BC$500,35,FALSE),0))</f>
        <v>#N/A</v>
      </c>
      <c r="E343" s="78">
        <v>0</v>
      </c>
      <c r="F343" s="78">
        <v>0</v>
      </c>
      <c r="G343" s="78">
        <v>0</v>
      </c>
      <c r="H343" s="78">
        <v>0</v>
      </c>
      <c r="I343" s="78">
        <v>0</v>
      </c>
      <c r="J343" s="78">
        <v>0</v>
      </c>
      <c r="K343" s="78">
        <v>0</v>
      </c>
      <c r="L343" s="36" t="e">
        <f t="shared" ca="1" si="82"/>
        <v>#N/A</v>
      </c>
      <c r="M343" s="37" t="e">
        <f t="shared" ca="1" si="79"/>
        <v>#N/A</v>
      </c>
      <c r="N343" s="37" t="e">
        <f t="shared" ca="1" si="81"/>
        <v>#N/A</v>
      </c>
      <c r="P343" s="35" t="e">
        <f t="shared" ca="1" si="89"/>
        <v>#N/A</v>
      </c>
      <c r="Q343" s="59" t="e">
        <f t="shared" ca="1" si="83"/>
        <v>#N/A</v>
      </c>
      <c r="R343" s="44" t="e">
        <f t="shared" ca="1" si="84"/>
        <v>#N/A</v>
      </c>
      <c r="S343" s="37" t="e">
        <f ca="1">IF(P343="","",IF(P343="Total",SUM($S$19:S342),VLOOKUP($P343,$B$12:$L397,11,FALSE)))</f>
        <v>#N/A</v>
      </c>
      <c r="T343" s="44" t="e">
        <f ca="1">IF(payfreq="Annually",IF(P343="","",IF(P343="Total",SUM($T$19:T342),Adj_Rate*$R343)),IF(payfreq="Semiannually",IF(P343="","",IF(P343="Total",SUM($T$19:T342),Adj_Rate/2*$R343)),IF(payfreq="Quarterly",IF(P343="","",IF(P343="Total",SUM($T$19:T342),Adj_Rate/4*$R343)),IF(payfreq="Monthly",IF(P343="","",IF(P343="Total",SUM($T$19:T342),Adj_Rate/12*$R343)),""))))</f>
        <v>#N/A</v>
      </c>
      <c r="U343" s="37" t="e">
        <f t="shared" ca="1" si="85"/>
        <v>#N/A</v>
      </c>
      <c r="V343" s="44" t="e">
        <f t="shared" ca="1" si="86"/>
        <v>#N/A</v>
      </c>
    </row>
    <row r="344" spans="2:22">
      <c r="B344" s="38" t="e">
        <f t="shared" ca="1" si="87"/>
        <v>#N/A</v>
      </c>
      <c r="C344" s="77" t="e">
        <f t="shared" ca="1" si="88"/>
        <v>#N/A</v>
      </c>
      <c r="D344" s="78" t="e">
        <f ca="1">+IF(AND(B344&lt;$G$7),VLOOKUP($B$1,Inventory!$A$1:$BC$500,35,FALSE),IF(AND(B344=$G$7,pmt_timing="End"),VLOOKUP($B$1,Inventory!$A$1:$BC$500,35,FALSE),0))</f>
        <v>#N/A</v>
      </c>
      <c r="E344" s="78">
        <v>0</v>
      </c>
      <c r="F344" s="78">
        <v>0</v>
      </c>
      <c r="G344" s="78">
        <v>0</v>
      </c>
      <c r="H344" s="78">
        <v>0</v>
      </c>
      <c r="I344" s="78">
        <v>0</v>
      </c>
      <c r="J344" s="78">
        <v>0</v>
      </c>
      <c r="K344" s="78">
        <v>0</v>
      </c>
      <c r="L344" s="36" t="e">
        <f t="shared" ca="1" si="82"/>
        <v>#N/A</v>
      </c>
      <c r="M344" s="37" t="e">
        <f t="shared" ca="1" si="79"/>
        <v>#N/A</v>
      </c>
      <c r="N344" s="37" t="e">
        <f t="shared" ca="1" si="81"/>
        <v>#N/A</v>
      </c>
      <c r="P344" s="35" t="e">
        <f t="shared" ca="1" si="89"/>
        <v>#N/A</v>
      </c>
      <c r="Q344" s="59" t="e">
        <f t="shared" ca="1" si="83"/>
        <v>#N/A</v>
      </c>
      <c r="R344" s="44" t="e">
        <f t="shared" ca="1" si="84"/>
        <v>#N/A</v>
      </c>
      <c r="S344" s="37" t="e">
        <f ca="1">IF(P344="","",IF(P344="Total",SUM($S$19:S343),VLOOKUP($P344,$B$12:$L398,11,FALSE)))</f>
        <v>#N/A</v>
      </c>
      <c r="T344" s="44" t="e">
        <f ca="1">IF(payfreq="Annually",IF(P344="","",IF(P344="Total",SUM($T$19:T343),Adj_Rate*$R344)),IF(payfreq="Semiannually",IF(P344="","",IF(P344="Total",SUM($T$19:T343),Adj_Rate/2*$R344)),IF(payfreq="Quarterly",IF(P344="","",IF(P344="Total",SUM($T$19:T343),Adj_Rate/4*$R344)),IF(payfreq="Monthly",IF(P344="","",IF(P344="Total",SUM($T$19:T343),Adj_Rate/12*$R344)),""))))</f>
        <v>#N/A</v>
      </c>
      <c r="U344" s="37" t="e">
        <f t="shared" ca="1" si="85"/>
        <v>#N/A</v>
      </c>
      <c r="V344" s="44" t="e">
        <f t="shared" ca="1" si="86"/>
        <v>#N/A</v>
      </c>
    </row>
    <row r="345" spans="2:22">
      <c r="B345" s="38" t="e">
        <f t="shared" ca="1" si="87"/>
        <v>#N/A</v>
      </c>
      <c r="C345" s="77" t="e">
        <f t="shared" ca="1" si="88"/>
        <v>#N/A</v>
      </c>
      <c r="D345" s="78" t="e">
        <f ca="1">+IF(AND(B345&lt;$G$7),VLOOKUP($B$1,Inventory!$A$1:$BC$500,35,FALSE),IF(AND(B345=$G$7,pmt_timing="End"),VLOOKUP($B$1,Inventory!$A$1:$BC$500,35,FALSE),0))</f>
        <v>#N/A</v>
      </c>
      <c r="E345" s="78">
        <v>0</v>
      </c>
      <c r="F345" s="78">
        <v>0</v>
      </c>
      <c r="G345" s="78">
        <v>0</v>
      </c>
      <c r="H345" s="78">
        <v>0</v>
      </c>
      <c r="I345" s="78">
        <v>0</v>
      </c>
      <c r="J345" s="78">
        <v>0</v>
      </c>
      <c r="K345" s="78">
        <v>0</v>
      </c>
      <c r="L345" s="36" t="e">
        <f t="shared" ca="1" si="82"/>
        <v>#N/A</v>
      </c>
      <c r="M345" s="37" t="e">
        <f t="shared" ca="1" si="79"/>
        <v>#N/A</v>
      </c>
      <c r="N345" s="37" t="e">
        <f t="shared" ca="1" si="81"/>
        <v>#N/A</v>
      </c>
      <c r="P345" s="35" t="e">
        <f t="shared" ca="1" si="89"/>
        <v>#N/A</v>
      </c>
      <c r="Q345" s="59" t="e">
        <f t="shared" ca="1" si="83"/>
        <v>#N/A</v>
      </c>
      <c r="R345" s="44" t="e">
        <f t="shared" ca="1" si="84"/>
        <v>#N/A</v>
      </c>
      <c r="S345" s="37" t="e">
        <f ca="1">IF(P345="","",IF(P345="Total",SUM($S$19:S344),VLOOKUP($P345,$B$12:$L399,11,FALSE)))</f>
        <v>#N/A</v>
      </c>
      <c r="T345" s="44" t="e">
        <f ca="1">IF(payfreq="Annually",IF(P345="","",IF(P345="Total",SUM($T$19:T344),Adj_Rate*$R345)),IF(payfreq="Semiannually",IF(P345="","",IF(P345="Total",SUM($T$19:T344),Adj_Rate/2*$R345)),IF(payfreq="Quarterly",IF(P345="","",IF(P345="Total",SUM($T$19:T344),Adj_Rate/4*$R345)),IF(payfreq="Monthly",IF(P345="","",IF(P345="Total",SUM($T$19:T344),Adj_Rate/12*$R345)),""))))</f>
        <v>#N/A</v>
      </c>
      <c r="U345" s="37" t="e">
        <f t="shared" ca="1" si="85"/>
        <v>#N/A</v>
      </c>
      <c r="V345" s="44" t="e">
        <f t="shared" ca="1" si="86"/>
        <v>#N/A</v>
      </c>
    </row>
    <row r="346" spans="2:22">
      <c r="B346" s="38" t="e">
        <f t="shared" ca="1" si="87"/>
        <v>#N/A</v>
      </c>
      <c r="C346" s="77" t="e">
        <f t="shared" ca="1" si="88"/>
        <v>#N/A</v>
      </c>
      <c r="D346" s="78" t="e">
        <f ca="1">+IF(AND(B346&lt;$G$7),VLOOKUP($B$1,Inventory!$A$1:$BC$500,35,FALSE),IF(AND(B346=$G$7,pmt_timing="End"),VLOOKUP($B$1,Inventory!$A$1:$BC$500,35,FALSE),0))</f>
        <v>#N/A</v>
      </c>
      <c r="E346" s="78">
        <v>0</v>
      </c>
      <c r="F346" s="78">
        <v>0</v>
      </c>
      <c r="G346" s="78">
        <v>0</v>
      </c>
      <c r="H346" s="78">
        <v>0</v>
      </c>
      <c r="I346" s="78">
        <v>0</v>
      </c>
      <c r="J346" s="78">
        <v>0</v>
      </c>
      <c r="K346" s="78">
        <v>0</v>
      </c>
      <c r="L346" s="36" t="e">
        <f t="shared" ca="1" si="82"/>
        <v>#N/A</v>
      </c>
      <c r="M346" s="37" t="e">
        <f t="shared" ca="1" si="79"/>
        <v>#N/A</v>
      </c>
      <c r="N346" s="37" t="e">
        <f t="shared" ca="1" si="81"/>
        <v>#N/A</v>
      </c>
      <c r="P346" s="35" t="e">
        <f t="shared" ca="1" si="89"/>
        <v>#N/A</v>
      </c>
      <c r="Q346" s="59" t="e">
        <f t="shared" ca="1" si="83"/>
        <v>#N/A</v>
      </c>
      <c r="R346" s="44" t="e">
        <f t="shared" ca="1" si="84"/>
        <v>#N/A</v>
      </c>
      <c r="S346" s="37" t="e">
        <f ca="1">IF(P346="","",IF(P346="Total",SUM($S$19:S345),VLOOKUP($P346,$B$12:$L400,11,FALSE)))</f>
        <v>#N/A</v>
      </c>
      <c r="T346" s="44" t="e">
        <f ca="1">IF(payfreq="Annually",IF(P346="","",IF(P346="Total",SUM($T$19:T345),Adj_Rate*$R346)),IF(payfreq="Semiannually",IF(P346="","",IF(P346="Total",SUM($T$19:T345),Adj_Rate/2*$R346)),IF(payfreq="Quarterly",IF(P346="","",IF(P346="Total",SUM($T$19:T345),Adj_Rate/4*$R346)),IF(payfreq="Monthly",IF(P346="","",IF(P346="Total",SUM($T$19:T345),Adj_Rate/12*$R346)),""))))</f>
        <v>#N/A</v>
      </c>
      <c r="U346" s="37" t="e">
        <f t="shared" ca="1" si="85"/>
        <v>#N/A</v>
      </c>
      <c r="V346" s="44" t="e">
        <f t="shared" ca="1" si="86"/>
        <v>#N/A</v>
      </c>
    </row>
    <row r="347" spans="2:22">
      <c r="B347" s="38" t="e">
        <f t="shared" ca="1" si="87"/>
        <v>#N/A</v>
      </c>
      <c r="C347" s="77" t="e">
        <f t="shared" ca="1" si="88"/>
        <v>#N/A</v>
      </c>
      <c r="D347" s="78" t="e">
        <f ca="1">+IF(AND(B347&lt;$G$7),VLOOKUP($B$1,Inventory!$A$1:$BC$500,35,FALSE),IF(AND(B347=$G$7,pmt_timing="End"),VLOOKUP($B$1,Inventory!$A$1:$BC$500,35,FALSE),0))</f>
        <v>#N/A</v>
      </c>
      <c r="E347" s="78">
        <v>0</v>
      </c>
      <c r="F347" s="78">
        <v>0</v>
      </c>
      <c r="G347" s="78">
        <v>0</v>
      </c>
      <c r="H347" s="78">
        <v>0</v>
      </c>
      <c r="I347" s="78">
        <v>0</v>
      </c>
      <c r="J347" s="78">
        <v>0</v>
      </c>
      <c r="K347" s="78">
        <v>0</v>
      </c>
      <c r="L347" s="36" t="e">
        <f t="shared" ca="1" si="82"/>
        <v>#N/A</v>
      </c>
      <c r="M347" s="37" t="e">
        <f t="shared" ca="1" si="79"/>
        <v>#N/A</v>
      </c>
      <c r="N347" s="37" t="e">
        <f t="shared" ca="1" si="81"/>
        <v>#N/A</v>
      </c>
      <c r="P347" s="35" t="e">
        <f t="shared" ca="1" si="89"/>
        <v>#N/A</v>
      </c>
      <c r="Q347" s="59" t="e">
        <f t="shared" ca="1" si="83"/>
        <v>#N/A</v>
      </c>
      <c r="R347" s="44" t="e">
        <f t="shared" ca="1" si="84"/>
        <v>#N/A</v>
      </c>
      <c r="S347" s="37" t="e">
        <f ca="1">IF(P347="","",IF(P347="Total",SUM($S$19:S346),VLOOKUP($P347,$B$12:$L401,11,FALSE)))</f>
        <v>#N/A</v>
      </c>
      <c r="T347" s="44" t="e">
        <f ca="1">IF(payfreq="Annually",IF(P347="","",IF(P347="Total",SUM($T$19:T346),Adj_Rate*$R347)),IF(payfreq="Semiannually",IF(P347="","",IF(P347="Total",SUM($T$19:T346),Adj_Rate/2*$R347)),IF(payfreq="Quarterly",IF(P347="","",IF(P347="Total",SUM($T$19:T346),Adj_Rate/4*$R347)),IF(payfreq="Monthly",IF(P347="","",IF(P347="Total",SUM($T$19:T346),Adj_Rate/12*$R347)),""))))</f>
        <v>#N/A</v>
      </c>
      <c r="U347" s="37" t="e">
        <f t="shared" ca="1" si="85"/>
        <v>#N/A</v>
      </c>
      <c r="V347" s="44" t="e">
        <f t="shared" ca="1" si="86"/>
        <v>#N/A</v>
      </c>
    </row>
    <row r="348" spans="2:22">
      <c r="B348" s="38" t="e">
        <f t="shared" ca="1" si="87"/>
        <v>#N/A</v>
      </c>
      <c r="C348" s="77" t="e">
        <f t="shared" ca="1" si="88"/>
        <v>#N/A</v>
      </c>
      <c r="D348" s="78" t="e">
        <f ca="1">+IF(AND(B348&lt;$G$7),VLOOKUP($B$1,Inventory!$A$1:$BC$500,35,FALSE),IF(AND(B348=$G$7,pmt_timing="End"),VLOOKUP($B$1,Inventory!$A$1:$BC$500,35,FALSE),0))</f>
        <v>#N/A</v>
      </c>
      <c r="E348" s="78">
        <v>0</v>
      </c>
      <c r="F348" s="78">
        <v>0</v>
      </c>
      <c r="G348" s="78">
        <v>0</v>
      </c>
      <c r="H348" s="78">
        <v>0</v>
      </c>
      <c r="I348" s="78">
        <v>0</v>
      </c>
      <c r="J348" s="78">
        <v>0</v>
      </c>
      <c r="K348" s="78">
        <v>0</v>
      </c>
      <c r="L348" s="36" t="e">
        <f t="shared" ca="1" si="82"/>
        <v>#N/A</v>
      </c>
      <c r="M348" s="37" t="e">
        <f t="shared" ca="1" si="79"/>
        <v>#N/A</v>
      </c>
      <c r="N348" s="37" t="e">
        <f t="shared" ca="1" si="81"/>
        <v>#N/A</v>
      </c>
      <c r="P348" s="35" t="e">
        <f t="shared" ca="1" si="89"/>
        <v>#N/A</v>
      </c>
      <c r="Q348" s="59" t="e">
        <f t="shared" ca="1" si="83"/>
        <v>#N/A</v>
      </c>
      <c r="R348" s="44" t="e">
        <f t="shared" ca="1" si="84"/>
        <v>#N/A</v>
      </c>
      <c r="S348" s="37" t="e">
        <f ca="1">IF(P348="","",IF(P348="Total",SUM($S$19:S347),VLOOKUP($P348,$B$12:$L402,11,FALSE)))</f>
        <v>#N/A</v>
      </c>
      <c r="T348" s="44" t="e">
        <f ca="1">IF(payfreq="Annually",IF(P348="","",IF(P348="Total",SUM($T$19:T347),Adj_Rate*$R348)),IF(payfreq="Semiannually",IF(P348="","",IF(P348="Total",SUM($T$19:T347),Adj_Rate/2*$R348)),IF(payfreq="Quarterly",IF(P348="","",IF(P348="Total",SUM($T$19:T347),Adj_Rate/4*$R348)),IF(payfreq="Monthly",IF(P348="","",IF(P348="Total",SUM($T$19:T347),Adj_Rate/12*$R348)),""))))</f>
        <v>#N/A</v>
      </c>
      <c r="U348" s="37" t="e">
        <f t="shared" ca="1" si="85"/>
        <v>#N/A</v>
      </c>
      <c r="V348" s="44" t="e">
        <f t="shared" ca="1" si="86"/>
        <v>#N/A</v>
      </c>
    </row>
    <row r="349" spans="2:22">
      <c r="B349" s="38" t="e">
        <f t="shared" ca="1" si="87"/>
        <v>#N/A</v>
      </c>
      <c r="C349" s="77" t="e">
        <f t="shared" ca="1" si="88"/>
        <v>#N/A</v>
      </c>
      <c r="D349" s="78" t="e">
        <f ca="1">+IF(AND(B349&lt;$G$7),VLOOKUP($B$1,Inventory!$A$1:$BC$500,35,FALSE),IF(AND(B349=$G$7,pmt_timing="End"),VLOOKUP($B$1,Inventory!$A$1:$BC$500,35,FALSE),0))</f>
        <v>#N/A</v>
      </c>
      <c r="E349" s="78">
        <v>0</v>
      </c>
      <c r="F349" s="78">
        <v>0</v>
      </c>
      <c r="G349" s="78">
        <v>0</v>
      </c>
      <c r="H349" s="78">
        <v>0</v>
      </c>
      <c r="I349" s="78">
        <v>0</v>
      </c>
      <c r="J349" s="78">
        <v>0</v>
      </c>
      <c r="K349" s="78">
        <v>0</v>
      </c>
      <c r="L349" s="36" t="e">
        <f t="shared" ca="1" si="82"/>
        <v>#N/A</v>
      </c>
      <c r="M349" s="37" t="e">
        <f t="shared" ca="1" si="79"/>
        <v>#N/A</v>
      </c>
      <c r="N349" s="37" t="e">
        <f t="shared" ca="1" si="81"/>
        <v>#N/A</v>
      </c>
      <c r="P349" s="35" t="e">
        <f t="shared" ca="1" si="89"/>
        <v>#N/A</v>
      </c>
      <c r="Q349" s="59" t="e">
        <f t="shared" ca="1" si="83"/>
        <v>#N/A</v>
      </c>
      <c r="R349" s="44" t="e">
        <f t="shared" ca="1" si="84"/>
        <v>#N/A</v>
      </c>
      <c r="S349" s="37" t="e">
        <f ca="1">IF(P349="","",IF(P349="Total",SUM($S$19:S348),VLOOKUP($P349,$B$12:$L403,11,FALSE)))</f>
        <v>#N/A</v>
      </c>
      <c r="T349" s="44" t="e">
        <f ca="1">IF(payfreq="Annually",IF(P349="","",IF(P349="Total",SUM($T$19:T348),Adj_Rate*$R349)),IF(payfreq="Semiannually",IF(P349="","",IF(P349="Total",SUM($T$19:T348),Adj_Rate/2*$R349)),IF(payfreq="Quarterly",IF(P349="","",IF(P349="Total",SUM($T$19:T348),Adj_Rate/4*$R349)),IF(payfreq="Monthly",IF(P349="","",IF(P349="Total",SUM($T$19:T348),Adj_Rate/12*$R349)),""))))</f>
        <v>#N/A</v>
      </c>
      <c r="U349" s="37" t="e">
        <f t="shared" ca="1" si="85"/>
        <v>#N/A</v>
      </c>
      <c r="V349" s="44" t="e">
        <f t="shared" ca="1" si="86"/>
        <v>#N/A</v>
      </c>
    </row>
    <row r="350" spans="2:22">
      <c r="B350" s="38" t="e">
        <f t="shared" ca="1" si="87"/>
        <v>#N/A</v>
      </c>
      <c r="C350" s="77" t="e">
        <f t="shared" ca="1" si="88"/>
        <v>#N/A</v>
      </c>
      <c r="D350" s="78" t="e">
        <f ca="1">+IF(AND(B350&lt;$G$7),VLOOKUP($B$1,Inventory!$A$1:$BC$500,35,FALSE),IF(AND(B350=$G$7,pmt_timing="End"),VLOOKUP($B$1,Inventory!$A$1:$BC$500,35,FALSE),0))</f>
        <v>#N/A</v>
      </c>
      <c r="E350" s="78">
        <v>0</v>
      </c>
      <c r="F350" s="78">
        <v>0</v>
      </c>
      <c r="G350" s="78">
        <v>0</v>
      </c>
      <c r="H350" s="78">
        <v>0</v>
      </c>
      <c r="I350" s="78">
        <v>0</v>
      </c>
      <c r="J350" s="78">
        <v>0</v>
      </c>
      <c r="K350" s="78">
        <v>0</v>
      </c>
      <c r="L350" s="36" t="e">
        <f t="shared" ca="1" si="82"/>
        <v>#N/A</v>
      </c>
      <c r="M350" s="37" t="e">
        <f t="shared" ca="1" si="79"/>
        <v>#N/A</v>
      </c>
      <c r="N350" s="37" t="e">
        <f t="shared" ca="1" si="81"/>
        <v>#N/A</v>
      </c>
      <c r="P350" s="35" t="e">
        <f t="shared" ca="1" si="89"/>
        <v>#N/A</v>
      </c>
      <c r="Q350" s="59" t="e">
        <f t="shared" ca="1" si="83"/>
        <v>#N/A</v>
      </c>
      <c r="R350" s="44" t="e">
        <f t="shared" ca="1" si="84"/>
        <v>#N/A</v>
      </c>
      <c r="S350" s="37" t="e">
        <f ca="1">IF(P350="","",IF(P350="Total",SUM($S$19:S349),VLOOKUP($P350,$B$12:$L404,11,FALSE)))</f>
        <v>#N/A</v>
      </c>
      <c r="T350" s="44" t="e">
        <f ca="1">IF(payfreq="Annually",IF(P350="","",IF(P350="Total",SUM($T$19:T349),Adj_Rate*$R350)),IF(payfreq="Semiannually",IF(P350="","",IF(P350="Total",SUM($T$19:T349),Adj_Rate/2*$R350)),IF(payfreq="Quarterly",IF(P350="","",IF(P350="Total",SUM($T$19:T349),Adj_Rate/4*$R350)),IF(payfreq="Monthly",IF(P350="","",IF(P350="Total",SUM($T$19:T349),Adj_Rate/12*$R350)),""))))</f>
        <v>#N/A</v>
      </c>
      <c r="U350" s="37" t="e">
        <f t="shared" ca="1" si="85"/>
        <v>#N/A</v>
      </c>
      <c r="V350" s="44" t="e">
        <f t="shared" ca="1" si="86"/>
        <v>#N/A</v>
      </c>
    </row>
    <row r="351" spans="2:22">
      <c r="B351" s="38" t="e">
        <f t="shared" ca="1" si="87"/>
        <v>#N/A</v>
      </c>
      <c r="C351" s="77" t="e">
        <f t="shared" ca="1" si="88"/>
        <v>#N/A</v>
      </c>
      <c r="D351" s="78" t="e">
        <f ca="1">+IF(AND(B351&lt;$G$7),VLOOKUP($B$1,Inventory!$A$1:$BC$500,35,FALSE),IF(AND(B351=$G$7,pmt_timing="End"),VLOOKUP($B$1,Inventory!$A$1:$BC$500,35,FALSE),0))</f>
        <v>#N/A</v>
      </c>
      <c r="E351" s="78">
        <v>0</v>
      </c>
      <c r="F351" s="78">
        <v>0</v>
      </c>
      <c r="G351" s="78">
        <v>0</v>
      </c>
      <c r="H351" s="78">
        <v>0</v>
      </c>
      <c r="I351" s="78">
        <v>0</v>
      </c>
      <c r="J351" s="78">
        <v>0</v>
      </c>
      <c r="K351" s="78">
        <v>0</v>
      </c>
      <c r="L351" s="36" t="e">
        <f t="shared" ca="1" si="82"/>
        <v>#N/A</v>
      </c>
      <c r="M351" s="37" t="e">
        <f t="shared" ca="1" si="79"/>
        <v>#N/A</v>
      </c>
      <c r="N351" s="37" t="e">
        <f t="shared" ca="1" si="81"/>
        <v>#N/A</v>
      </c>
      <c r="P351" s="35" t="e">
        <f t="shared" ca="1" si="89"/>
        <v>#N/A</v>
      </c>
      <c r="Q351" s="59" t="e">
        <f t="shared" ca="1" si="83"/>
        <v>#N/A</v>
      </c>
      <c r="R351" s="44" t="e">
        <f t="shared" ca="1" si="84"/>
        <v>#N/A</v>
      </c>
      <c r="S351" s="37" t="e">
        <f ca="1">IF(P351="","",IF(P351="Total",SUM($S$19:S350),VLOOKUP($P351,$B$12:$L405,11,FALSE)))</f>
        <v>#N/A</v>
      </c>
      <c r="T351" s="44" t="e">
        <f ca="1">IF(payfreq="Annually",IF(P351="","",IF(P351="Total",SUM($T$19:T350),Adj_Rate*$R351)),IF(payfreq="Semiannually",IF(P351="","",IF(P351="Total",SUM($T$19:T350),Adj_Rate/2*$R351)),IF(payfreq="Quarterly",IF(P351="","",IF(P351="Total",SUM($T$19:T350),Adj_Rate/4*$R351)),IF(payfreq="Monthly",IF(P351="","",IF(P351="Total",SUM($T$19:T350),Adj_Rate/12*$R351)),""))))</f>
        <v>#N/A</v>
      </c>
      <c r="U351" s="37" t="e">
        <f t="shared" ca="1" si="85"/>
        <v>#N/A</v>
      </c>
      <c r="V351" s="44" t="e">
        <f t="shared" ca="1" si="86"/>
        <v>#N/A</v>
      </c>
    </row>
    <row r="352" spans="2:22">
      <c r="B352" s="38" t="e">
        <f t="shared" ca="1" si="87"/>
        <v>#N/A</v>
      </c>
      <c r="C352" s="77" t="e">
        <f t="shared" ca="1" si="88"/>
        <v>#N/A</v>
      </c>
      <c r="D352" s="78" t="e">
        <f ca="1">+IF(AND(B352&lt;$G$7),VLOOKUP($B$1,Inventory!$A$1:$BC$500,35,FALSE),IF(AND(B352=$G$7,pmt_timing="End"),VLOOKUP($B$1,Inventory!$A$1:$BC$500,35,FALSE),0))</f>
        <v>#N/A</v>
      </c>
      <c r="E352" s="78">
        <v>0</v>
      </c>
      <c r="F352" s="78">
        <v>0</v>
      </c>
      <c r="G352" s="78">
        <v>0</v>
      </c>
      <c r="H352" s="78">
        <v>0</v>
      </c>
      <c r="I352" s="78">
        <v>0</v>
      </c>
      <c r="J352" s="78">
        <v>0</v>
      </c>
      <c r="K352" s="78">
        <v>0</v>
      </c>
      <c r="L352" s="36" t="e">
        <f t="shared" ca="1" si="82"/>
        <v>#N/A</v>
      </c>
      <c r="M352" s="37" t="e">
        <f t="shared" ca="1" si="79"/>
        <v>#N/A</v>
      </c>
      <c r="N352" s="37" t="e">
        <f t="shared" ca="1" si="81"/>
        <v>#N/A</v>
      </c>
      <c r="P352" s="35" t="e">
        <f t="shared" ca="1" si="89"/>
        <v>#N/A</v>
      </c>
      <c r="Q352" s="59" t="e">
        <f t="shared" ca="1" si="83"/>
        <v>#N/A</v>
      </c>
      <c r="R352" s="44" t="e">
        <f t="shared" ca="1" si="84"/>
        <v>#N/A</v>
      </c>
      <c r="S352" s="37" t="e">
        <f ca="1">IF(P352="","",IF(P352="Total",SUM($S$19:S351),VLOOKUP($P352,$B$12:$L406,11,FALSE)))</f>
        <v>#N/A</v>
      </c>
      <c r="T352" s="44" t="e">
        <f ca="1">IF(payfreq="Annually",IF(P352="","",IF(P352="Total",SUM($T$19:T351),Adj_Rate*$R352)),IF(payfreq="Semiannually",IF(P352="","",IF(P352="Total",SUM($T$19:T351),Adj_Rate/2*$R352)),IF(payfreq="Quarterly",IF(P352="","",IF(P352="Total",SUM($T$19:T351),Adj_Rate/4*$R352)),IF(payfreq="Monthly",IF(P352="","",IF(P352="Total",SUM($T$19:T351),Adj_Rate/12*$R352)),""))))</f>
        <v>#N/A</v>
      </c>
      <c r="U352" s="37" t="e">
        <f t="shared" ca="1" si="85"/>
        <v>#N/A</v>
      </c>
      <c r="V352" s="44" t="e">
        <f t="shared" ca="1" si="86"/>
        <v>#N/A</v>
      </c>
    </row>
    <row r="353" spans="2:22">
      <c r="B353" s="38" t="e">
        <f t="shared" ca="1" si="87"/>
        <v>#N/A</v>
      </c>
      <c r="C353" s="77" t="e">
        <f t="shared" ca="1" si="88"/>
        <v>#N/A</v>
      </c>
      <c r="D353" s="78" t="e">
        <f ca="1">+IF(AND(B353&lt;$G$7),VLOOKUP($B$1,Inventory!$A$1:$BC$500,35,FALSE),IF(AND(B353=$G$7,pmt_timing="End"),VLOOKUP($B$1,Inventory!$A$1:$BC$500,35,FALSE),0))</f>
        <v>#N/A</v>
      </c>
      <c r="E353" s="78">
        <v>0</v>
      </c>
      <c r="F353" s="78">
        <v>0</v>
      </c>
      <c r="G353" s="78">
        <v>0</v>
      </c>
      <c r="H353" s="78">
        <v>0</v>
      </c>
      <c r="I353" s="78">
        <v>0</v>
      </c>
      <c r="J353" s="78">
        <v>0</v>
      </c>
      <c r="K353" s="78">
        <v>0</v>
      </c>
      <c r="L353" s="36" t="e">
        <f t="shared" ca="1" si="82"/>
        <v>#N/A</v>
      </c>
      <c r="M353" s="37" t="e">
        <f t="shared" ca="1" si="79"/>
        <v>#N/A</v>
      </c>
      <c r="N353" s="37" t="e">
        <f t="shared" ca="1" si="81"/>
        <v>#N/A</v>
      </c>
      <c r="P353" s="35" t="e">
        <f t="shared" ca="1" si="89"/>
        <v>#N/A</v>
      </c>
      <c r="Q353" s="59" t="e">
        <f t="shared" ca="1" si="83"/>
        <v>#N/A</v>
      </c>
      <c r="R353" s="44" t="e">
        <f t="shared" ca="1" si="84"/>
        <v>#N/A</v>
      </c>
      <c r="S353" s="37" t="e">
        <f ca="1">IF(P353="","",IF(P353="Total",SUM($S$19:S352),VLOOKUP($P353,$B$12:$L407,11,FALSE)))</f>
        <v>#N/A</v>
      </c>
      <c r="T353" s="44" t="e">
        <f ca="1">IF(payfreq="Annually",IF(P353="","",IF(P353="Total",SUM($T$19:T352),Adj_Rate*$R353)),IF(payfreq="Semiannually",IF(P353="","",IF(P353="Total",SUM($T$19:T352),Adj_Rate/2*$R353)),IF(payfreq="Quarterly",IF(P353="","",IF(P353="Total",SUM($T$19:T352),Adj_Rate/4*$R353)),IF(payfreq="Monthly",IF(P353="","",IF(P353="Total",SUM($T$19:T352),Adj_Rate/12*$R353)),""))))</f>
        <v>#N/A</v>
      </c>
      <c r="U353" s="37" t="e">
        <f t="shared" ca="1" si="85"/>
        <v>#N/A</v>
      </c>
      <c r="V353" s="44" t="e">
        <f t="shared" ca="1" si="86"/>
        <v>#N/A</v>
      </c>
    </row>
    <row r="354" spans="2:22">
      <c r="B354" s="38" t="e">
        <f t="shared" ca="1" si="87"/>
        <v>#N/A</v>
      </c>
      <c r="C354" s="77" t="e">
        <f t="shared" ca="1" si="88"/>
        <v>#N/A</v>
      </c>
      <c r="D354" s="78" t="e">
        <f ca="1">+IF(AND(B354&lt;$G$7),VLOOKUP($B$1,Inventory!$A$1:$BC$500,35,FALSE),IF(AND(B354=$G$7,pmt_timing="End"),VLOOKUP($B$1,Inventory!$A$1:$BC$500,35,FALSE),0))</f>
        <v>#N/A</v>
      </c>
      <c r="E354" s="78">
        <v>0</v>
      </c>
      <c r="F354" s="78">
        <v>0</v>
      </c>
      <c r="G354" s="78">
        <v>0</v>
      </c>
      <c r="H354" s="78">
        <v>0</v>
      </c>
      <c r="I354" s="78">
        <v>0</v>
      </c>
      <c r="J354" s="78">
        <v>0</v>
      </c>
      <c r="K354" s="78">
        <v>0</v>
      </c>
      <c r="L354" s="36" t="e">
        <f t="shared" ca="1" si="82"/>
        <v>#N/A</v>
      </c>
      <c r="M354" s="37" t="e">
        <f t="shared" ca="1" si="79"/>
        <v>#N/A</v>
      </c>
      <c r="N354" s="37" t="e">
        <f t="shared" ca="1" si="81"/>
        <v>#N/A</v>
      </c>
      <c r="P354" s="35" t="e">
        <f t="shared" ca="1" si="89"/>
        <v>#N/A</v>
      </c>
      <c r="Q354" s="59" t="e">
        <f t="shared" ca="1" si="83"/>
        <v>#N/A</v>
      </c>
      <c r="R354" s="44" t="e">
        <f t="shared" ca="1" si="84"/>
        <v>#N/A</v>
      </c>
      <c r="S354" s="37" t="e">
        <f ca="1">IF(P354="","",IF(P354="Total",SUM($S$19:S353),VLOOKUP($P354,$B$12:$L408,11,FALSE)))</f>
        <v>#N/A</v>
      </c>
      <c r="T354" s="44" t="e">
        <f ca="1">IF(payfreq="Annually",IF(P354="","",IF(P354="Total",SUM($T$19:T353),Adj_Rate*$R354)),IF(payfreq="Semiannually",IF(P354="","",IF(P354="Total",SUM($T$19:T353),Adj_Rate/2*$R354)),IF(payfreq="Quarterly",IF(P354="","",IF(P354="Total",SUM($T$19:T353),Adj_Rate/4*$R354)),IF(payfreq="Monthly",IF(P354="","",IF(P354="Total",SUM($T$19:T353),Adj_Rate/12*$R354)),""))))</f>
        <v>#N/A</v>
      </c>
      <c r="U354" s="37" t="e">
        <f t="shared" ca="1" si="85"/>
        <v>#N/A</v>
      </c>
      <c r="V354" s="44" t="e">
        <f t="shared" ca="1" si="86"/>
        <v>#N/A</v>
      </c>
    </row>
    <row r="355" spans="2:22">
      <c r="B355" s="38" t="e">
        <f t="shared" ca="1" si="87"/>
        <v>#N/A</v>
      </c>
      <c r="C355" s="77" t="e">
        <f t="shared" ca="1" si="88"/>
        <v>#N/A</v>
      </c>
      <c r="D355" s="78" t="e">
        <f ca="1">+IF(AND(B355&lt;$G$7),VLOOKUP($B$1,Inventory!$A$1:$BC$500,35,FALSE),IF(AND(B355=$G$7,pmt_timing="End"),VLOOKUP($B$1,Inventory!$A$1:$BC$500,35,FALSE),0))</f>
        <v>#N/A</v>
      </c>
      <c r="E355" s="78">
        <v>0</v>
      </c>
      <c r="F355" s="78">
        <v>0</v>
      </c>
      <c r="G355" s="78">
        <v>0</v>
      </c>
      <c r="H355" s="78">
        <v>0</v>
      </c>
      <c r="I355" s="78">
        <v>0</v>
      </c>
      <c r="J355" s="78">
        <v>0</v>
      </c>
      <c r="K355" s="78">
        <v>0</v>
      </c>
      <c r="L355" s="36" t="e">
        <f t="shared" ca="1" si="82"/>
        <v>#N/A</v>
      </c>
      <c r="M355" s="37" t="e">
        <f t="shared" ca="1" si="79"/>
        <v>#N/A</v>
      </c>
      <c r="N355" s="37" t="e">
        <f t="shared" ca="1" si="81"/>
        <v>#N/A</v>
      </c>
      <c r="P355" s="35" t="e">
        <f t="shared" ca="1" si="89"/>
        <v>#N/A</v>
      </c>
      <c r="Q355" s="59" t="e">
        <f t="shared" ca="1" si="83"/>
        <v>#N/A</v>
      </c>
      <c r="R355" s="44" t="e">
        <f t="shared" ca="1" si="84"/>
        <v>#N/A</v>
      </c>
      <c r="S355" s="37" t="e">
        <f ca="1">IF(P355="","",IF(P355="Total",SUM($S$19:S354),VLOOKUP($P355,$B$12:$L409,11,FALSE)))</f>
        <v>#N/A</v>
      </c>
      <c r="T355" s="44" t="e">
        <f ca="1">IF(payfreq="Annually",IF(P355="","",IF(P355="Total",SUM($T$19:T354),Adj_Rate*$R355)),IF(payfreq="Semiannually",IF(P355="","",IF(P355="Total",SUM($T$19:T354),Adj_Rate/2*$R355)),IF(payfreq="Quarterly",IF(P355="","",IF(P355="Total",SUM($T$19:T354),Adj_Rate/4*$R355)),IF(payfreq="Monthly",IF(P355="","",IF(P355="Total",SUM($T$19:T354),Adj_Rate/12*$R355)),""))))</f>
        <v>#N/A</v>
      </c>
      <c r="U355" s="37" t="e">
        <f t="shared" ca="1" si="85"/>
        <v>#N/A</v>
      </c>
      <c r="V355" s="44" t="e">
        <f t="shared" ca="1" si="86"/>
        <v>#N/A</v>
      </c>
    </row>
    <row r="356" spans="2:22">
      <c r="B356" s="38" t="e">
        <f t="shared" ca="1" si="87"/>
        <v>#N/A</v>
      </c>
      <c r="C356" s="77" t="e">
        <f t="shared" ca="1" si="88"/>
        <v>#N/A</v>
      </c>
      <c r="D356" s="78" t="e">
        <f ca="1">+IF(AND(B356&lt;$G$7),VLOOKUP($B$1,Inventory!$A$1:$BC$500,35,FALSE),IF(AND(B356=$G$7,pmt_timing="End"),VLOOKUP($B$1,Inventory!$A$1:$BC$500,35,FALSE),0))</f>
        <v>#N/A</v>
      </c>
      <c r="E356" s="78">
        <v>0</v>
      </c>
      <c r="F356" s="78">
        <v>0</v>
      </c>
      <c r="G356" s="78">
        <v>0</v>
      </c>
      <c r="H356" s="78">
        <v>0</v>
      </c>
      <c r="I356" s="78">
        <v>0</v>
      </c>
      <c r="J356" s="78">
        <v>0</v>
      </c>
      <c r="K356" s="78">
        <v>0</v>
      </c>
      <c r="L356" s="36" t="e">
        <f t="shared" ca="1" si="82"/>
        <v>#N/A</v>
      </c>
      <c r="M356" s="37" t="e">
        <f t="shared" ca="1" si="79"/>
        <v>#N/A</v>
      </c>
      <c r="N356" s="37" t="e">
        <f t="shared" ca="1" si="81"/>
        <v>#N/A</v>
      </c>
      <c r="P356" s="35" t="e">
        <f t="shared" ca="1" si="89"/>
        <v>#N/A</v>
      </c>
      <c r="Q356" s="59" t="e">
        <f t="shared" ca="1" si="83"/>
        <v>#N/A</v>
      </c>
      <c r="R356" s="44" t="e">
        <f t="shared" ca="1" si="84"/>
        <v>#N/A</v>
      </c>
      <c r="S356" s="37" t="e">
        <f ca="1">IF(P356="","",IF(P356="Total",SUM($S$19:S355),VLOOKUP($P356,$B$12:$L410,11,FALSE)))</f>
        <v>#N/A</v>
      </c>
      <c r="T356" s="44" t="e">
        <f ca="1">IF(payfreq="Annually",IF(P356="","",IF(P356="Total",SUM($T$19:T355),Adj_Rate*$R356)),IF(payfreq="Semiannually",IF(P356="","",IF(P356="Total",SUM($T$19:T355),Adj_Rate/2*$R356)),IF(payfreq="Quarterly",IF(P356="","",IF(P356="Total",SUM($T$19:T355),Adj_Rate/4*$R356)),IF(payfreq="Monthly",IF(P356="","",IF(P356="Total",SUM($T$19:T355),Adj_Rate/12*$R356)),""))))</f>
        <v>#N/A</v>
      </c>
      <c r="U356" s="37" t="e">
        <f t="shared" ca="1" si="85"/>
        <v>#N/A</v>
      </c>
      <c r="V356" s="44" t="e">
        <f t="shared" ca="1" si="86"/>
        <v>#N/A</v>
      </c>
    </row>
    <row r="357" spans="2:22">
      <c r="B357" s="38" t="e">
        <f t="shared" ca="1" si="87"/>
        <v>#N/A</v>
      </c>
      <c r="C357" s="77" t="e">
        <f t="shared" ca="1" si="88"/>
        <v>#N/A</v>
      </c>
      <c r="D357" s="78" t="e">
        <f ca="1">+IF(AND(B357&lt;$G$7),VLOOKUP($B$1,Inventory!$A$1:$BC$500,35,FALSE),IF(AND(B357=$G$7,pmt_timing="End"),VLOOKUP($B$1,Inventory!$A$1:$BC$500,35,FALSE),0))</f>
        <v>#N/A</v>
      </c>
      <c r="E357" s="78">
        <v>0</v>
      </c>
      <c r="F357" s="78">
        <v>0</v>
      </c>
      <c r="G357" s="78">
        <v>0</v>
      </c>
      <c r="H357" s="78">
        <v>0</v>
      </c>
      <c r="I357" s="78">
        <v>0</v>
      </c>
      <c r="J357" s="78">
        <v>0</v>
      </c>
      <c r="K357" s="78">
        <v>0</v>
      </c>
      <c r="L357" s="36" t="e">
        <f t="shared" ca="1" si="82"/>
        <v>#N/A</v>
      </c>
      <c r="M357" s="37" t="e">
        <f t="shared" ca="1" si="79"/>
        <v>#N/A</v>
      </c>
      <c r="N357" s="37" t="e">
        <f t="shared" ca="1" si="81"/>
        <v>#N/A</v>
      </c>
      <c r="P357" s="35" t="e">
        <f t="shared" ca="1" si="89"/>
        <v>#N/A</v>
      </c>
      <c r="Q357" s="59" t="e">
        <f t="shared" ca="1" si="83"/>
        <v>#N/A</v>
      </c>
      <c r="R357" s="44" t="e">
        <f t="shared" ca="1" si="84"/>
        <v>#N/A</v>
      </c>
      <c r="S357" s="37" t="e">
        <f ca="1">IF(P357="","",IF(P357="Total",SUM($S$19:S356),VLOOKUP($P357,$B$12:$L411,11,FALSE)))</f>
        <v>#N/A</v>
      </c>
      <c r="T357" s="44" t="e">
        <f ca="1">IF(payfreq="Annually",IF(P357="","",IF(P357="Total",SUM($T$19:T356),Adj_Rate*$R357)),IF(payfreq="Semiannually",IF(P357="","",IF(P357="Total",SUM($T$19:T356),Adj_Rate/2*$R357)),IF(payfreq="Quarterly",IF(P357="","",IF(P357="Total",SUM($T$19:T356),Adj_Rate/4*$R357)),IF(payfreq="Monthly",IF(P357="","",IF(P357="Total",SUM($T$19:T356),Adj_Rate/12*$R357)),""))))</f>
        <v>#N/A</v>
      </c>
      <c r="U357" s="37" t="e">
        <f t="shared" ca="1" si="85"/>
        <v>#N/A</v>
      </c>
      <c r="V357" s="44" t="e">
        <f t="shared" ca="1" si="86"/>
        <v>#N/A</v>
      </c>
    </row>
    <row r="358" spans="2:22">
      <c r="B358" s="38" t="e">
        <f t="shared" ca="1" si="87"/>
        <v>#N/A</v>
      </c>
      <c r="C358" s="77" t="e">
        <f t="shared" ca="1" si="88"/>
        <v>#N/A</v>
      </c>
      <c r="D358" s="78" t="e">
        <f ca="1">+IF(AND(B358&lt;$G$7),VLOOKUP($B$1,Inventory!$A$1:$BC$500,35,FALSE),IF(AND(B358=$G$7,pmt_timing="End"),VLOOKUP($B$1,Inventory!$A$1:$BC$500,35,FALSE),0))</f>
        <v>#N/A</v>
      </c>
      <c r="E358" s="78">
        <v>0</v>
      </c>
      <c r="F358" s="78">
        <v>0</v>
      </c>
      <c r="G358" s="78">
        <v>0</v>
      </c>
      <c r="H358" s="78">
        <v>0</v>
      </c>
      <c r="I358" s="78">
        <v>0</v>
      </c>
      <c r="J358" s="78">
        <v>0</v>
      </c>
      <c r="K358" s="78">
        <v>0</v>
      </c>
      <c r="L358" s="36" t="e">
        <f t="shared" ca="1" si="82"/>
        <v>#N/A</v>
      </c>
      <c r="M358" s="37" t="e">
        <f t="shared" ca="1" si="79"/>
        <v>#N/A</v>
      </c>
      <c r="N358" s="37" t="e">
        <f t="shared" ca="1" si="81"/>
        <v>#N/A</v>
      </c>
      <c r="P358" s="35" t="e">
        <f t="shared" ca="1" si="89"/>
        <v>#N/A</v>
      </c>
      <c r="Q358" s="59" t="e">
        <f t="shared" ca="1" si="83"/>
        <v>#N/A</v>
      </c>
      <c r="R358" s="44" t="e">
        <f t="shared" ca="1" si="84"/>
        <v>#N/A</v>
      </c>
      <c r="S358" s="37" t="e">
        <f ca="1">IF(P358="","",IF(P358="Total",SUM($S$19:S357),VLOOKUP($P358,$B$12:$L412,11,FALSE)))</f>
        <v>#N/A</v>
      </c>
      <c r="T358" s="44" t="e">
        <f ca="1">IF(payfreq="Annually",IF(P358="","",IF(P358="Total",SUM($T$19:T357),Adj_Rate*$R358)),IF(payfreq="Semiannually",IF(P358="","",IF(P358="Total",SUM($T$19:T357),Adj_Rate/2*$R358)),IF(payfreq="Quarterly",IF(P358="","",IF(P358="Total",SUM($T$19:T357),Adj_Rate/4*$R358)),IF(payfreq="Monthly",IF(P358="","",IF(P358="Total",SUM($T$19:T357),Adj_Rate/12*$R358)),""))))</f>
        <v>#N/A</v>
      </c>
      <c r="U358" s="37" t="e">
        <f t="shared" ca="1" si="85"/>
        <v>#N/A</v>
      </c>
      <c r="V358" s="44" t="e">
        <f t="shared" ca="1" si="86"/>
        <v>#N/A</v>
      </c>
    </row>
    <row r="359" spans="2:22">
      <c r="B359" s="38" t="e">
        <f t="shared" ca="1" si="87"/>
        <v>#N/A</v>
      </c>
      <c r="C359" s="77" t="e">
        <f t="shared" ca="1" si="88"/>
        <v>#N/A</v>
      </c>
      <c r="D359" s="78" t="e">
        <f ca="1">+IF(AND(B359&lt;$G$7),VLOOKUP($B$1,Inventory!$A$1:$BC$500,35,FALSE),IF(AND(B359=$G$7,pmt_timing="End"),VLOOKUP($B$1,Inventory!$A$1:$BC$500,35,FALSE),0))</f>
        <v>#N/A</v>
      </c>
      <c r="E359" s="78">
        <v>0</v>
      </c>
      <c r="F359" s="78">
        <v>0</v>
      </c>
      <c r="G359" s="78">
        <v>0</v>
      </c>
      <c r="H359" s="78">
        <v>0</v>
      </c>
      <c r="I359" s="78">
        <v>0</v>
      </c>
      <c r="J359" s="78">
        <v>0</v>
      </c>
      <c r="K359" s="78">
        <v>0</v>
      </c>
      <c r="L359" s="36" t="e">
        <f t="shared" ca="1" si="82"/>
        <v>#N/A</v>
      </c>
      <c r="M359" s="37" t="e">
        <f t="shared" ca="1" si="79"/>
        <v>#N/A</v>
      </c>
      <c r="N359" s="37" t="e">
        <f t="shared" ca="1" si="81"/>
        <v>#N/A</v>
      </c>
      <c r="P359" s="35" t="e">
        <f t="shared" ca="1" si="89"/>
        <v>#N/A</v>
      </c>
      <c r="Q359" s="59" t="e">
        <f t="shared" ca="1" si="83"/>
        <v>#N/A</v>
      </c>
      <c r="R359" s="44" t="e">
        <f t="shared" ca="1" si="84"/>
        <v>#N/A</v>
      </c>
      <c r="S359" s="37" t="e">
        <f ca="1">IF(P359="","",IF(P359="Total",SUM($S$19:S358),VLOOKUP($P359,$B$12:$L413,11,FALSE)))</f>
        <v>#N/A</v>
      </c>
      <c r="T359" s="44" t="e">
        <f ca="1">IF(payfreq="Annually",IF(P359="","",IF(P359="Total",SUM($T$19:T358),Adj_Rate*$R359)),IF(payfreq="Semiannually",IF(P359="","",IF(P359="Total",SUM($T$19:T358),Adj_Rate/2*$R359)),IF(payfreq="Quarterly",IF(P359="","",IF(P359="Total",SUM($T$19:T358),Adj_Rate/4*$R359)),IF(payfreq="Monthly",IF(P359="","",IF(P359="Total",SUM($T$19:T358),Adj_Rate/12*$R359)),""))))</f>
        <v>#N/A</v>
      </c>
      <c r="U359" s="37" t="e">
        <f t="shared" ca="1" si="85"/>
        <v>#N/A</v>
      </c>
      <c r="V359" s="44" t="e">
        <f t="shared" ca="1" si="86"/>
        <v>#N/A</v>
      </c>
    </row>
    <row r="360" spans="2:22">
      <c r="B360" s="38" t="e">
        <f t="shared" ca="1" si="87"/>
        <v>#N/A</v>
      </c>
      <c r="C360" s="77" t="e">
        <f t="shared" ca="1" si="88"/>
        <v>#N/A</v>
      </c>
      <c r="D360" s="78" t="e">
        <f ca="1">+IF(AND(B360&lt;$G$7),VLOOKUP($B$1,Inventory!$A$1:$BC$500,35,FALSE),IF(AND(B360=$G$7,pmt_timing="End"),VLOOKUP($B$1,Inventory!$A$1:$BC$500,35,FALSE),0))</f>
        <v>#N/A</v>
      </c>
      <c r="E360" s="78">
        <v>0</v>
      </c>
      <c r="F360" s="78">
        <v>0</v>
      </c>
      <c r="G360" s="78">
        <v>0</v>
      </c>
      <c r="H360" s="78">
        <v>0</v>
      </c>
      <c r="I360" s="78">
        <v>0</v>
      </c>
      <c r="J360" s="78">
        <v>0</v>
      </c>
      <c r="K360" s="78">
        <v>0</v>
      </c>
      <c r="L360" s="36" t="e">
        <f t="shared" ca="1" si="82"/>
        <v>#N/A</v>
      </c>
      <c r="M360" s="37" t="e">
        <f t="shared" ca="1" si="79"/>
        <v>#N/A</v>
      </c>
      <c r="N360" s="37" t="e">
        <f t="shared" ca="1" si="81"/>
        <v>#N/A</v>
      </c>
      <c r="P360" s="35" t="e">
        <f t="shared" ca="1" si="89"/>
        <v>#N/A</v>
      </c>
      <c r="Q360" s="59" t="e">
        <f t="shared" ca="1" si="83"/>
        <v>#N/A</v>
      </c>
      <c r="R360" s="44" t="e">
        <f t="shared" ca="1" si="84"/>
        <v>#N/A</v>
      </c>
      <c r="S360" s="37" t="e">
        <f ca="1">IF(P360="","",IF(P360="Total",SUM($S$19:S359),VLOOKUP($P360,$B$12:$L414,11,FALSE)))</f>
        <v>#N/A</v>
      </c>
      <c r="T360" s="44" t="e">
        <f ca="1">IF(payfreq="Annually",IF(P360="","",IF(P360="Total",SUM($T$19:T359),Adj_Rate*$R360)),IF(payfreq="Semiannually",IF(P360="","",IF(P360="Total",SUM($T$19:T359),Adj_Rate/2*$R360)),IF(payfreq="Quarterly",IF(P360="","",IF(P360="Total",SUM($T$19:T359),Adj_Rate/4*$R360)),IF(payfreq="Monthly",IF(P360="","",IF(P360="Total",SUM($T$19:T359),Adj_Rate/12*$R360)),""))))</f>
        <v>#N/A</v>
      </c>
      <c r="U360" s="37" t="e">
        <f t="shared" ca="1" si="85"/>
        <v>#N/A</v>
      </c>
      <c r="V360" s="44" t="e">
        <f t="shared" ca="1" si="86"/>
        <v>#N/A</v>
      </c>
    </row>
    <row r="361" spans="2:22">
      <c r="B361" s="38" t="e">
        <f t="shared" ca="1" si="87"/>
        <v>#N/A</v>
      </c>
      <c r="C361" s="77" t="e">
        <f t="shared" ca="1" si="88"/>
        <v>#N/A</v>
      </c>
      <c r="D361" s="78" t="e">
        <f ca="1">+IF(AND(B361&lt;$G$7),VLOOKUP($B$1,Inventory!$A$1:$BC$500,35,FALSE),IF(AND(B361=$G$7,pmt_timing="End"),VLOOKUP($B$1,Inventory!$A$1:$BC$500,35,FALSE),0))</f>
        <v>#N/A</v>
      </c>
      <c r="E361" s="78">
        <v>0</v>
      </c>
      <c r="F361" s="78">
        <v>0</v>
      </c>
      <c r="G361" s="78">
        <v>0</v>
      </c>
      <c r="H361" s="78">
        <v>0</v>
      </c>
      <c r="I361" s="78">
        <v>0</v>
      </c>
      <c r="J361" s="78">
        <v>0</v>
      </c>
      <c r="K361" s="78">
        <v>0</v>
      </c>
      <c r="L361" s="36" t="e">
        <f t="shared" ca="1" si="82"/>
        <v>#N/A</v>
      </c>
      <c r="M361" s="37" t="e">
        <f t="shared" ca="1" si="79"/>
        <v>#N/A</v>
      </c>
      <c r="N361" s="37" t="e">
        <f t="shared" ca="1" si="81"/>
        <v>#N/A</v>
      </c>
      <c r="P361" s="35" t="e">
        <f t="shared" ca="1" si="89"/>
        <v>#N/A</v>
      </c>
      <c r="Q361" s="59" t="e">
        <f t="shared" ca="1" si="83"/>
        <v>#N/A</v>
      </c>
      <c r="R361" s="44" t="e">
        <f t="shared" ca="1" si="84"/>
        <v>#N/A</v>
      </c>
      <c r="S361" s="37" t="e">
        <f ca="1">IF(P361="","",IF(P361="Total",SUM($S$19:S360),VLOOKUP($P361,$B$12:$L415,11,FALSE)))</f>
        <v>#N/A</v>
      </c>
      <c r="T361" s="44" t="e">
        <f ca="1">IF(payfreq="Annually",IF(P361="","",IF(P361="Total",SUM($T$19:T360),Adj_Rate*$R361)),IF(payfreq="Semiannually",IF(P361="","",IF(P361="Total",SUM($T$19:T360),Adj_Rate/2*$R361)),IF(payfreq="Quarterly",IF(P361="","",IF(P361="Total",SUM($T$19:T360),Adj_Rate/4*$R361)),IF(payfreq="Monthly",IF(P361="","",IF(P361="Total",SUM($T$19:T360),Adj_Rate/12*$R361)),""))))</f>
        <v>#N/A</v>
      </c>
      <c r="U361" s="37" t="e">
        <f t="shared" ca="1" si="85"/>
        <v>#N/A</v>
      </c>
      <c r="V361" s="44" t="e">
        <f t="shared" ca="1" si="86"/>
        <v>#N/A</v>
      </c>
    </row>
    <row r="362" spans="2:22">
      <c r="B362" s="38" t="e">
        <f t="shared" ca="1" si="87"/>
        <v>#N/A</v>
      </c>
      <c r="C362" s="77" t="e">
        <f t="shared" ca="1" si="88"/>
        <v>#N/A</v>
      </c>
      <c r="D362" s="78" t="e">
        <f ca="1">+IF(AND(B362&lt;$G$7),VLOOKUP($B$1,Inventory!$A$1:$BC$500,35,FALSE),IF(AND(B362=$G$7,pmt_timing="End"),VLOOKUP($B$1,Inventory!$A$1:$BC$500,35,FALSE),0))</f>
        <v>#N/A</v>
      </c>
      <c r="E362" s="78">
        <v>0</v>
      </c>
      <c r="F362" s="78">
        <v>0</v>
      </c>
      <c r="G362" s="78">
        <v>0</v>
      </c>
      <c r="H362" s="78">
        <v>0</v>
      </c>
      <c r="I362" s="78">
        <v>0</v>
      </c>
      <c r="J362" s="78">
        <v>0</v>
      </c>
      <c r="K362" s="78">
        <v>0</v>
      </c>
      <c r="L362" s="36" t="e">
        <f t="shared" ca="1" si="82"/>
        <v>#N/A</v>
      </c>
      <c r="M362" s="37" t="e">
        <f t="shared" ca="1" si="79"/>
        <v>#N/A</v>
      </c>
      <c r="N362" s="37" t="e">
        <f t="shared" ca="1" si="81"/>
        <v>#N/A</v>
      </c>
      <c r="P362" s="35" t="e">
        <f t="shared" ca="1" si="89"/>
        <v>#N/A</v>
      </c>
      <c r="Q362" s="59" t="e">
        <f t="shared" ca="1" si="83"/>
        <v>#N/A</v>
      </c>
      <c r="R362" s="44" t="e">
        <f t="shared" ca="1" si="84"/>
        <v>#N/A</v>
      </c>
      <c r="S362" s="37" t="e">
        <f ca="1">IF(P362="","",IF(P362="Total",SUM($S$19:S361),VLOOKUP($P362,$B$12:$L416,11,FALSE)))</f>
        <v>#N/A</v>
      </c>
      <c r="T362" s="44" t="e">
        <f ca="1">IF(payfreq="Annually",IF(P362="","",IF(P362="Total",SUM($T$19:T361),Adj_Rate*$R362)),IF(payfreq="Semiannually",IF(P362="","",IF(P362="Total",SUM($T$19:T361),Adj_Rate/2*$R362)),IF(payfreq="Quarterly",IF(P362="","",IF(P362="Total",SUM($T$19:T361),Adj_Rate/4*$R362)),IF(payfreq="Monthly",IF(P362="","",IF(P362="Total",SUM($T$19:T361),Adj_Rate/12*$R362)),""))))</f>
        <v>#N/A</v>
      </c>
      <c r="U362" s="37" t="e">
        <f t="shared" ca="1" si="85"/>
        <v>#N/A</v>
      </c>
      <c r="V362" s="44" t="e">
        <f t="shared" ca="1" si="86"/>
        <v>#N/A</v>
      </c>
    </row>
    <row r="363" spans="2:22">
      <c r="B363" s="38" t="e">
        <f t="shared" ca="1" si="87"/>
        <v>#N/A</v>
      </c>
      <c r="C363" s="77" t="e">
        <f t="shared" ca="1" si="88"/>
        <v>#N/A</v>
      </c>
      <c r="D363" s="78" t="e">
        <f ca="1">+IF(AND(B363&lt;$G$7),VLOOKUP($B$1,Inventory!$A$1:$BC$500,35,FALSE),IF(AND(B363=$G$7,pmt_timing="End"),VLOOKUP($B$1,Inventory!$A$1:$BC$500,35,FALSE),0))</f>
        <v>#N/A</v>
      </c>
      <c r="E363" s="78">
        <v>0</v>
      </c>
      <c r="F363" s="78">
        <v>0</v>
      </c>
      <c r="G363" s="78">
        <v>0</v>
      </c>
      <c r="H363" s="78">
        <v>0</v>
      </c>
      <c r="I363" s="78">
        <v>0</v>
      </c>
      <c r="J363" s="78">
        <v>0</v>
      </c>
      <c r="K363" s="78">
        <v>0</v>
      </c>
      <c r="L363" s="36" t="e">
        <f t="shared" ca="1" si="82"/>
        <v>#N/A</v>
      </c>
      <c r="M363" s="37" t="e">
        <f t="shared" ca="1" si="79"/>
        <v>#N/A</v>
      </c>
      <c r="N363" s="37" t="e">
        <f t="shared" ca="1" si="81"/>
        <v>#N/A</v>
      </c>
      <c r="P363" s="35" t="e">
        <f t="shared" ca="1" si="89"/>
        <v>#N/A</v>
      </c>
      <c r="Q363" s="59" t="e">
        <f t="shared" ca="1" si="83"/>
        <v>#N/A</v>
      </c>
      <c r="R363" s="44" t="e">
        <f t="shared" ca="1" si="84"/>
        <v>#N/A</v>
      </c>
      <c r="S363" s="37" t="e">
        <f ca="1">IF(P363="","",IF(P363="Total",SUM($S$19:S362),VLOOKUP($P363,$B$12:$L417,11,FALSE)))</f>
        <v>#N/A</v>
      </c>
      <c r="T363" s="44" t="e">
        <f ca="1">IF(payfreq="Annually",IF(P363="","",IF(P363="Total",SUM($T$19:T362),Adj_Rate*$R363)),IF(payfreq="Semiannually",IF(P363="","",IF(P363="Total",SUM($T$19:T362),Adj_Rate/2*$R363)),IF(payfreq="Quarterly",IF(P363="","",IF(P363="Total",SUM($T$19:T362),Adj_Rate/4*$R363)),IF(payfreq="Monthly",IF(P363="","",IF(P363="Total",SUM($T$19:T362),Adj_Rate/12*$R363)),""))))</f>
        <v>#N/A</v>
      </c>
      <c r="U363" s="37" t="e">
        <f t="shared" ca="1" si="85"/>
        <v>#N/A</v>
      </c>
      <c r="V363" s="44" t="e">
        <f t="shared" ca="1" si="86"/>
        <v>#N/A</v>
      </c>
    </row>
    <row r="364" spans="2:22">
      <c r="B364" s="38" t="e">
        <f t="shared" ca="1" si="87"/>
        <v>#N/A</v>
      </c>
      <c r="C364" s="77" t="e">
        <f t="shared" ca="1" si="88"/>
        <v>#N/A</v>
      </c>
      <c r="D364" s="78" t="e">
        <f ca="1">+IF(AND(B364&lt;$G$7),VLOOKUP($B$1,Inventory!$A$1:$BC$500,35,FALSE),IF(AND(B364=$G$7,pmt_timing="End"),VLOOKUP($B$1,Inventory!$A$1:$BC$500,35,FALSE),0))</f>
        <v>#N/A</v>
      </c>
      <c r="E364" s="78">
        <v>0</v>
      </c>
      <c r="F364" s="78">
        <v>0</v>
      </c>
      <c r="G364" s="78">
        <v>0</v>
      </c>
      <c r="H364" s="78">
        <v>0</v>
      </c>
      <c r="I364" s="78">
        <v>0</v>
      </c>
      <c r="J364" s="78">
        <v>0</v>
      </c>
      <c r="K364" s="78">
        <v>0</v>
      </c>
      <c r="L364" s="36" t="e">
        <f t="shared" ca="1" si="82"/>
        <v>#N/A</v>
      </c>
      <c r="M364" s="37" t="e">
        <f t="shared" ca="1" si="79"/>
        <v>#N/A</v>
      </c>
      <c r="N364" s="37" t="e">
        <f t="shared" ca="1" si="81"/>
        <v>#N/A</v>
      </c>
      <c r="P364" s="35" t="e">
        <f t="shared" ca="1" si="89"/>
        <v>#N/A</v>
      </c>
      <c r="Q364" s="59" t="e">
        <f t="shared" ca="1" si="83"/>
        <v>#N/A</v>
      </c>
      <c r="R364" s="44" t="e">
        <f t="shared" ca="1" si="84"/>
        <v>#N/A</v>
      </c>
      <c r="S364" s="37" t="e">
        <f ca="1">IF(P364="","",IF(P364="Total",SUM($S$19:S363),VLOOKUP($P364,$B$12:$L418,11,FALSE)))</f>
        <v>#N/A</v>
      </c>
      <c r="T364" s="44" t="e">
        <f ca="1">IF(payfreq="Annually",IF(P364="","",IF(P364="Total",SUM($T$19:T363),Adj_Rate*$R364)),IF(payfreq="Semiannually",IF(P364="","",IF(P364="Total",SUM($T$19:T363),Adj_Rate/2*$R364)),IF(payfreq="Quarterly",IF(P364="","",IF(P364="Total",SUM($T$19:T363),Adj_Rate/4*$R364)),IF(payfreq="Monthly",IF(P364="","",IF(P364="Total",SUM($T$19:T363),Adj_Rate/12*$R364)),""))))</f>
        <v>#N/A</v>
      </c>
      <c r="U364" s="37" t="e">
        <f t="shared" ca="1" si="85"/>
        <v>#N/A</v>
      </c>
      <c r="V364" s="44" t="e">
        <f t="shared" ca="1" si="86"/>
        <v>#N/A</v>
      </c>
    </row>
    <row r="365" spans="2:22">
      <c r="B365" s="38" t="e">
        <f t="shared" ca="1" si="87"/>
        <v>#N/A</v>
      </c>
      <c r="C365" s="77" t="e">
        <f t="shared" ca="1" si="88"/>
        <v>#N/A</v>
      </c>
      <c r="D365" s="78" t="e">
        <f ca="1">+IF(AND(B365&lt;$G$7),VLOOKUP($B$1,Inventory!$A$1:$BC$500,35,FALSE),IF(AND(B365=$G$7,pmt_timing="End"),VLOOKUP($B$1,Inventory!$A$1:$BC$500,35,FALSE),0))</f>
        <v>#N/A</v>
      </c>
      <c r="E365" s="78">
        <v>0</v>
      </c>
      <c r="F365" s="78">
        <v>0</v>
      </c>
      <c r="G365" s="78">
        <v>0</v>
      </c>
      <c r="H365" s="78">
        <v>0</v>
      </c>
      <c r="I365" s="78">
        <v>0</v>
      </c>
      <c r="J365" s="78">
        <v>0</v>
      </c>
      <c r="K365" s="78">
        <v>0</v>
      </c>
      <c r="L365" s="36" t="e">
        <f t="shared" ca="1" si="82"/>
        <v>#N/A</v>
      </c>
      <c r="M365" s="37" t="e">
        <f t="shared" ca="1" si="79"/>
        <v>#N/A</v>
      </c>
      <c r="N365" s="37" t="e">
        <f t="shared" ca="1" si="81"/>
        <v>#N/A</v>
      </c>
      <c r="P365" s="35" t="e">
        <f t="shared" ca="1" si="89"/>
        <v>#N/A</v>
      </c>
      <c r="Q365" s="59" t="e">
        <f t="shared" ca="1" si="83"/>
        <v>#N/A</v>
      </c>
      <c r="R365" s="44" t="e">
        <f t="shared" ca="1" si="84"/>
        <v>#N/A</v>
      </c>
      <c r="S365" s="37" t="e">
        <f ca="1">IF(P365="","",IF(P365="Total",SUM($S$19:S364),VLOOKUP($P365,$B$12:$L419,11,FALSE)))</f>
        <v>#N/A</v>
      </c>
      <c r="T365" s="44" t="e">
        <f ca="1">IF(payfreq="Annually",IF(P365="","",IF(P365="Total",SUM($T$19:T364),Adj_Rate*$R365)),IF(payfreq="Semiannually",IF(P365="","",IF(P365="Total",SUM($T$19:T364),Adj_Rate/2*$R365)),IF(payfreq="Quarterly",IF(P365="","",IF(P365="Total",SUM($T$19:T364),Adj_Rate/4*$R365)),IF(payfreq="Monthly",IF(P365="","",IF(P365="Total",SUM($T$19:T364),Adj_Rate/12*$R365)),""))))</f>
        <v>#N/A</v>
      </c>
      <c r="U365" s="37" t="e">
        <f t="shared" ca="1" si="85"/>
        <v>#N/A</v>
      </c>
      <c r="V365" s="44" t="e">
        <f t="shared" ca="1" si="86"/>
        <v>#N/A</v>
      </c>
    </row>
    <row r="366" spans="2:22">
      <c r="B366" s="38" t="e">
        <f t="shared" ca="1" si="87"/>
        <v>#N/A</v>
      </c>
      <c r="C366" s="77" t="e">
        <f t="shared" ca="1" si="88"/>
        <v>#N/A</v>
      </c>
      <c r="D366" s="78" t="e">
        <f ca="1">+IF(AND(B366&lt;$G$7),VLOOKUP($B$1,Inventory!$A$1:$BC$500,35,FALSE),IF(AND(B366=$G$7,pmt_timing="End"),VLOOKUP($B$1,Inventory!$A$1:$BC$500,35,FALSE),0))</f>
        <v>#N/A</v>
      </c>
      <c r="E366" s="78">
        <v>0</v>
      </c>
      <c r="F366" s="78">
        <v>0</v>
      </c>
      <c r="G366" s="78">
        <v>0</v>
      </c>
      <c r="H366" s="78">
        <v>0</v>
      </c>
      <c r="I366" s="78">
        <v>0</v>
      </c>
      <c r="J366" s="78">
        <v>0</v>
      </c>
      <c r="K366" s="78">
        <v>0</v>
      </c>
      <c r="L366" s="36" t="e">
        <f t="shared" ca="1" si="82"/>
        <v>#N/A</v>
      </c>
      <c r="M366" s="37" t="e">
        <f t="shared" ca="1" si="79"/>
        <v>#N/A</v>
      </c>
      <c r="N366" s="37" t="e">
        <f t="shared" ca="1" si="81"/>
        <v>#N/A</v>
      </c>
      <c r="P366" s="35" t="e">
        <f t="shared" ca="1" si="89"/>
        <v>#N/A</v>
      </c>
      <c r="Q366" s="59" t="e">
        <f t="shared" ca="1" si="83"/>
        <v>#N/A</v>
      </c>
      <c r="R366" s="44" t="e">
        <f t="shared" ca="1" si="84"/>
        <v>#N/A</v>
      </c>
      <c r="S366" s="37" t="e">
        <f ca="1">IF(P366="","",IF(P366="Total",SUM($S$19:S365),VLOOKUP($P366,$B$12:$L420,11,FALSE)))</f>
        <v>#N/A</v>
      </c>
      <c r="T366" s="44" t="e">
        <f ca="1">IF(payfreq="Annually",IF(P366="","",IF(P366="Total",SUM($T$19:T365),Adj_Rate*$R366)),IF(payfreq="Semiannually",IF(P366="","",IF(P366="Total",SUM($T$19:T365),Adj_Rate/2*$R366)),IF(payfreq="Quarterly",IF(P366="","",IF(P366="Total",SUM($T$19:T365),Adj_Rate/4*$R366)),IF(payfreq="Monthly",IF(P366="","",IF(P366="Total",SUM($T$19:T365),Adj_Rate/12*$R366)),""))))</f>
        <v>#N/A</v>
      </c>
      <c r="U366" s="37" t="e">
        <f t="shared" ca="1" si="85"/>
        <v>#N/A</v>
      </c>
      <c r="V366" s="44" t="e">
        <f t="shared" ca="1" si="86"/>
        <v>#N/A</v>
      </c>
    </row>
    <row r="367" spans="2:22">
      <c r="B367" s="38" t="e">
        <f t="shared" ca="1" si="87"/>
        <v>#N/A</v>
      </c>
      <c r="C367" s="77" t="e">
        <f t="shared" ca="1" si="88"/>
        <v>#N/A</v>
      </c>
      <c r="D367" s="78" t="e">
        <f ca="1">+IF(AND(B367&lt;$G$7),VLOOKUP($B$1,Inventory!$A$1:$BC$500,35,FALSE),IF(AND(B367=$G$7,pmt_timing="End"),VLOOKUP($B$1,Inventory!$A$1:$BC$500,35,FALSE),0))</f>
        <v>#N/A</v>
      </c>
      <c r="E367" s="78">
        <v>0</v>
      </c>
      <c r="F367" s="78">
        <v>0</v>
      </c>
      <c r="G367" s="78">
        <v>0</v>
      </c>
      <c r="H367" s="78">
        <v>0</v>
      </c>
      <c r="I367" s="78">
        <v>0</v>
      </c>
      <c r="J367" s="78">
        <v>0</v>
      </c>
      <c r="K367" s="78">
        <v>0</v>
      </c>
      <c r="L367" s="36" t="e">
        <f t="shared" ca="1" si="82"/>
        <v>#N/A</v>
      </c>
      <c r="M367" s="37" t="e">
        <f t="shared" ca="1" si="79"/>
        <v>#N/A</v>
      </c>
      <c r="N367" s="37" t="e">
        <f t="shared" ca="1" si="81"/>
        <v>#N/A</v>
      </c>
      <c r="P367" s="35" t="e">
        <f t="shared" ca="1" si="89"/>
        <v>#N/A</v>
      </c>
      <c r="Q367" s="59" t="e">
        <f t="shared" ca="1" si="83"/>
        <v>#N/A</v>
      </c>
      <c r="R367" s="44" t="e">
        <f t="shared" ca="1" si="84"/>
        <v>#N/A</v>
      </c>
      <c r="S367" s="37" t="e">
        <f ca="1">IF(P367="","",IF(P367="Total",SUM($S$19:S366),VLOOKUP($P367,$B$12:$L421,11,FALSE)))</f>
        <v>#N/A</v>
      </c>
      <c r="T367" s="44" t="e">
        <f ca="1">IF(payfreq="Annually",IF(P367="","",IF(P367="Total",SUM($T$19:T366),Adj_Rate*$R367)),IF(payfreq="Semiannually",IF(P367="","",IF(P367="Total",SUM($T$19:T366),Adj_Rate/2*$R367)),IF(payfreq="Quarterly",IF(P367="","",IF(P367="Total",SUM($T$19:T366),Adj_Rate/4*$R367)),IF(payfreq="Monthly",IF(P367="","",IF(P367="Total",SUM($T$19:T366),Adj_Rate/12*$R367)),""))))</f>
        <v>#N/A</v>
      </c>
      <c r="U367" s="37" t="e">
        <f t="shared" ca="1" si="85"/>
        <v>#N/A</v>
      </c>
      <c r="V367" s="44" t="e">
        <f t="shared" ca="1" si="86"/>
        <v>#N/A</v>
      </c>
    </row>
    <row r="368" spans="2:22">
      <c r="B368" s="38" t="e">
        <f t="shared" ca="1" si="87"/>
        <v>#N/A</v>
      </c>
      <c r="C368" s="77" t="e">
        <f t="shared" ca="1" si="88"/>
        <v>#N/A</v>
      </c>
      <c r="D368" s="78" t="e">
        <f ca="1">+IF(AND(B368&lt;$G$7),VLOOKUP($B$1,Inventory!$A$1:$BC$500,35,FALSE),IF(AND(B368=$G$7,pmt_timing="End"),VLOOKUP($B$1,Inventory!$A$1:$BC$500,35,FALSE),0))</f>
        <v>#N/A</v>
      </c>
      <c r="E368" s="78">
        <v>0</v>
      </c>
      <c r="F368" s="78">
        <v>0</v>
      </c>
      <c r="G368" s="78">
        <v>0</v>
      </c>
      <c r="H368" s="78">
        <v>0</v>
      </c>
      <c r="I368" s="78">
        <v>0</v>
      </c>
      <c r="J368" s="78">
        <v>0</v>
      </c>
      <c r="K368" s="78">
        <v>0</v>
      </c>
      <c r="L368" s="36" t="e">
        <f t="shared" ca="1" si="82"/>
        <v>#N/A</v>
      </c>
      <c r="M368" s="37" t="e">
        <f t="shared" ca="1" si="79"/>
        <v>#N/A</v>
      </c>
      <c r="N368" s="37" t="e">
        <f t="shared" ca="1" si="81"/>
        <v>#N/A</v>
      </c>
      <c r="P368" s="35" t="e">
        <f t="shared" ca="1" si="89"/>
        <v>#N/A</v>
      </c>
      <c r="Q368" s="59" t="e">
        <f t="shared" ca="1" si="83"/>
        <v>#N/A</v>
      </c>
      <c r="R368" s="44" t="e">
        <f t="shared" ca="1" si="84"/>
        <v>#N/A</v>
      </c>
      <c r="S368" s="37" t="e">
        <f ca="1">IF(P368="","",IF(P368="Total",SUM($S$19:S367),VLOOKUP($P368,$B$12:$L422,11,FALSE)))</f>
        <v>#N/A</v>
      </c>
      <c r="T368" s="44" t="e">
        <f ca="1">IF(payfreq="Annually",IF(P368="","",IF(P368="Total",SUM($T$19:T367),Adj_Rate*$R368)),IF(payfreq="Semiannually",IF(P368="","",IF(P368="Total",SUM($T$19:T367),Adj_Rate/2*$R368)),IF(payfreq="Quarterly",IF(P368="","",IF(P368="Total",SUM($T$19:T367),Adj_Rate/4*$R368)),IF(payfreq="Monthly",IF(P368="","",IF(P368="Total",SUM($T$19:T367),Adj_Rate/12*$R368)),""))))</f>
        <v>#N/A</v>
      </c>
      <c r="U368" s="37" t="e">
        <f t="shared" ca="1" si="85"/>
        <v>#N/A</v>
      </c>
      <c r="V368" s="44" t="e">
        <f t="shared" ca="1" si="86"/>
        <v>#N/A</v>
      </c>
    </row>
    <row r="369" spans="2:22">
      <c r="B369" s="38" t="e">
        <f t="shared" ca="1" si="87"/>
        <v>#N/A</v>
      </c>
      <c r="C369" s="77" t="e">
        <f t="shared" ca="1" si="88"/>
        <v>#N/A</v>
      </c>
      <c r="D369" s="78" t="e">
        <f ca="1">+IF(AND(B369&lt;$G$7),VLOOKUP($B$1,Inventory!$A$1:$BC$500,35,FALSE),IF(AND(B369=$G$7,pmt_timing="End"),VLOOKUP($B$1,Inventory!$A$1:$BC$500,35,FALSE),0))</f>
        <v>#N/A</v>
      </c>
      <c r="E369" s="78">
        <v>0</v>
      </c>
      <c r="F369" s="78">
        <v>0</v>
      </c>
      <c r="G369" s="78">
        <v>0</v>
      </c>
      <c r="H369" s="78">
        <v>0</v>
      </c>
      <c r="I369" s="78">
        <v>0</v>
      </c>
      <c r="J369" s="78">
        <v>0</v>
      </c>
      <c r="K369" s="78">
        <v>0</v>
      </c>
      <c r="L369" s="36" t="e">
        <f t="shared" ca="1" si="82"/>
        <v>#N/A</v>
      </c>
      <c r="M369" s="37" t="e">
        <f t="shared" ca="1" si="79"/>
        <v>#N/A</v>
      </c>
      <c r="N369" s="37" t="e">
        <f t="shared" ca="1" si="81"/>
        <v>#N/A</v>
      </c>
      <c r="P369" s="35" t="e">
        <f t="shared" ca="1" si="89"/>
        <v>#N/A</v>
      </c>
      <c r="Q369" s="59" t="e">
        <f t="shared" ca="1" si="83"/>
        <v>#N/A</v>
      </c>
      <c r="R369" s="44" t="e">
        <f t="shared" ca="1" si="84"/>
        <v>#N/A</v>
      </c>
      <c r="S369" s="37" t="e">
        <f ca="1">IF(P369="","",IF(P369="Total",SUM($S$19:S368),VLOOKUP($P369,$B$12:$L423,11,FALSE)))</f>
        <v>#N/A</v>
      </c>
      <c r="T369" s="44" t="e">
        <f ca="1">IF(payfreq="Annually",IF(P369="","",IF(P369="Total",SUM($T$19:T368),Adj_Rate*$R369)),IF(payfreq="Semiannually",IF(P369="","",IF(P369="Total",SUM($T$19:T368),Adj_Rate/2*$R369)),IF(payfreq="Quarterly",IF(P369="","",IF(P369="Total",SUM($T$19:T368),Adj_Rate/4*$R369)),IF(payfreq="Monthly",IF(P369="","",IF(P369="Total",SUM($T$19:T368),Adj_Rate/12*$R369)),""))))</f>
        <v>#N/A</v>
      </c>
      <c r="U369" s="37" t="e">
        <f t="shared" ca="1" si="85"/>
        <v>#N/A</v>
      </c>
      <c r="V369" s="44" t="e">
        <f t="shared" ca="1" si="86"/>
        <v>#N/A</v>
      </c>
    </row>
    <row r="370" spans="2:22">
      <c r="B370" s="38" t="e">
        <f t="shared" ca="1" si="87"/>
        <v>#N/A</v>
      </c>
      <c r="C370" s="77" t="e">
        <f t="shared" ca="1" si="88"/>
        <v>#N/A</v>
      </c>
      <c r="D370" s="78" t="e">
        <f ca="1">+IF(AND(B370&lt;$G$7),VLOOKUP($B$1,Inventory!$A$1:$BC$500,35,FALSE),IF(AND(B370=$G$7,pmt_timing="End"),VLOOKUP($B$1,Inventory!$A$1:$BC$500,35,FALSE),0))</f>
        <v>#N/A</v>
      </c>
      <c r="E370" s="78">
        <v>0</v>
      </c>
      <c r="F370" s="78">
        <v>0</v>
      </c>
      <c r="G370" s="78">
        <v>0</v>
      </c>
      <c r="H370" s="78">
        <v>0</v>
      </c>
      <c r="I370" s="78">
        <v>0</v>
      </c>
      <c r="J370" s="78">
        <v>0</v>
      </c>
      <c r="K370" s="78">
        <v>0</v>
      </c>
      <c r="L370" s="36" t="e">
        <f t="shared" ca="1" si="82"/>
        <v>#N/A</v>
      </c>
      <c r="M370" s="37" t="e">
        <f t="shared" ca="1" si="79"/>
        <v>#N/A</v>
      </c>
      <c r="N370" s="37" t="e">
        <f t="shared" ca="1" si="81"/>
        <v>#N/A</v>
      </c>
      <c r="P370" s="35" t="e">
        <f t="shared" ca="1" si="89"/>
        <v>#N/A</v>
      </c>
      <c r="Q370" s="59" t="e">
        <f t="shared" ca="1" si="83"/>
        <v>#N/A</v>
      </c>
      <c r="R370" s="44" t="e">
        <f t="shared" ca="1" si="84"/>
        <v>#N/A</v>
      </c>
      <c r="S370" s="37" t="e">
        <f ca="1">IF(P370="","",IF(P370="Total",SUM($S$19:S369),VLOOKUP($P370,$B$12:$L424,11,FALSE)))</f>
        <v>#N/A</v>
      </c>
      <c r="T370" s="44" t="e">
        <f ca="1">IF(payfreq="Annually",IF(P370="","",IF(P370="Total",SUM($T$19:T369),Adj_Rate*$R370)),IF(payfreq="Semiannually",IF(P370="","",IF(P370="Total",SUM($T$19:T369),Adj_Rate/2*$R370)),IF(payfreq="Quarterly",IF(P370="","",IF(P370="Total",SUM($T$19:T369),Adj_Rate/4*$R370)),IF(payfreq="Monthly",IF(P370="","",IF(P370="Total",SUM($T$19:T369),Adj_Rate/12*$R370)),""))))</f>
        <v>#N/A</v>
      </c>
      <c r="U370" s="37" t="e">
        <f t="shared" ca="1" si="85"/>
        <v>#N/A</v>
      </c>
      <c r="V370" s="44" t="e">
        <f t="shared" ca="1" si="86"/>
        <v>#N/A</v>
      </c>
    </row>
    <row r="371" spans="2:22">
      <c r="B371" s="38" t="e">
        <f t="shared" ca="1" si="87"/>
        <v>#N/A</v>
      </c>
      <c r="C371" s="77" t="e">
        <f t="shared" ca="1" si="88"/>
        <v>#N/A</v>
      </c>
      <c r="D371" s="78" t="e">
        <f ca="1">+IF(AND(B371&lt;$G$7),VLOOKUP($B$1,Inventory!$A$1:$BC$500,35,FALSE),IF(AND(B371=$G$7,pmt_timing="End"),VLOOKUP($B$1,Inventory!$A$1:$BC$500,35,FALSE),0))</f>
        <v>#N/A</v>
      </c>
      <c r="E371" s="78">
        <v>0</v>
      </c>
      <c r="F371" s="78">
        <v>0</v>
      </c>
      <c r="G371" s="78">
        <v>0</v>
      </c>
      <c r="H371" s="78">
        <v>0</v>
      </c>
      <c r="I371" s="78">
        <v>0</v>
      </c>
      <c r="J371" s="78">
        <v>0</v>
      </c>
      <c r="K371" s="78">
        <v>0</v>
      </c>
      <c r="L371" s="36" t="e">
        <f t="shared" ca="1" si="82"/>
        <v>#N/A</v>
      </c>
      <c r="M371" s="37" t="e">
        <f t="shared" ca="1" si="79"/>
        <v>#N/A</v>
      </c>
      <c r="N371" s="37" t="e">
        <f t="shared" ca="1" si="81"/>
        <v>#N/A</v>
      </c>
      <c r="P371" s="35" t="e">
        <f t="shared" ca="1" si="89"/>
        <v>#N/A</v>
      </c>
      <c r="Q371" s="59" t="e">
        <f t="shared" ca="1" si="83"/>
        <v>#N/A</v>
      </c>
      <c r="R371" s="44" t="e">
        <f t="shared" ca="1" si="84"/>
        <v>#N/A</v>
      </c>
      <c r="S371" s="37" t="e">
        <f ca="1">IF(P371="","",IF(P371="Total",SUM($S$19:S370),VLOOKUP($P371,$B$12:$L425,11,FALSE)))</f>
        <v>#N/A</v>
      </c>
      <c r="T371" s="44" t="e">
        <f ca="1">IF(payfreq="Annually",IF(P371="","",IF(P371="Total",SUM($T$19:T370),Adj_Rate*$R371)),IF(payfreq="Semiannually",IF(P371="","",IF(P371="Total",SUM($T$19:T370),Adj_Rate/2*$R371)),IF(payfreq="Quarterly",IF(P371="","",IF(P371="Total",SUM($T$19:T370),Adj_Rate/4*$R371)),IF(payfreq="Monthly",IF(P371="","",IF(P371="Total",SUM($T$19:T370),Adj_Rate/12*$R371)),""))))</f>
        <v>#N/A</v>
      </c>
      <c r="U371" s="37" t="e">
        <f t="shared" ca="1" si="85"/>
        <v>#N/A</v>
      </c>
      <c r="V371" s="44" t="e">
        <f t="shared" ca="1" si="86"/>
        <v>#N/A</v>
      </c>
    </row>
    <row r="372" spans="2:22">
      <c r="B372" s="38" t="e">
        <f t="shared" ca="1" si="87"/>
        <v>#N/A</v>
      </c>
      <c r="C372" s="77" t="e">
        <f t="shared" ca="1" si="88"/>
        <v>#N/A</v>
      </c>
      <c r="D372" s="78" t="e">
        <f ca="1">+IF(AND(B372&lt;$G$7),VLOOKUP($B$1,Inventory!$A$1:$BC$500,35,FALSE),IF(AND(B372=$G$7,pmt_timing="End"),VLOOKUP($B$1,Inventory!$A$1:$BC$500,35,FALSE),0))</f>
        <v>#N/A</v>
      </c>
      <c r="E372" s="78">
        <v>0</v>
      </c>
      <c r="F372" s="78">
        <v>0</v>
      </c>
      <c r="G372" s="78">
        <v>0</v>
      </c>
      <c r="H372" s="78">
        <v>0</v>
      </c>
      <c r="I372" s="78">
        <v>0</v>
      </c>
      <c r="J372" s="78">
        <v>0</v>
      </c>
      <c r="K372" s="78">
        <v>0</v>
      </c>
      <c r="L372" s="36" t="e">
        <f t="shared" ca="1" si="82"/>
        <v>#N/A</v>
      </c>
      <c r="M372" s="37" t="e">
        <f t="shared" ca="1" si="79"/>
        <v>#N/A</v>
      </c>
      <c r="N372" s="37" t="e">
        <f t="shared" ca="1" si="81"/>
        <v>#N/A</v>
      </c>
      <c r="P372" s="35" t="e">
        <f t="shared" ca="1" si="89"/>
        <v>#N/A</v>
      </c>
      <c r="Q372" s="59" t="e">
        <f t="shared" ca="1" si="83"/>
        <v>#N/A</v>
      </c>
      <c r="R372" s="44" t="e">
        <f t="shared" ca="1" si="84"/>
        <v>#N/A</v>
      </c>
      <c r="S372" s="37" t="e">
        <f ca="1">IF(P372="","",IF(P372="Total",SUM($S$19:S371),VLOOKUP($P372,$B$12:$L426,11,FALSE)))</f>
        <v>#N/A</v>
      </c>
      <c r="T372" s="44" t="e">
        <f ca="1">IF(payfreq="Annually",IF(P372="","",IF(P372="Total",SUM($T$19:T371),Adj_Rate*$R372)),IF(payfreq="Semiannually",IF(P372="","",IF(P372="Total",SUM($T$19:T371),Adj_Rate/2*$R372)),IF(payfreq="Quarterly",IF(P372="","",IF(P372="Total",SUM($T$19:T371),Adj_Rate/4*$R372)),IF(payfreq="Monthly",IF(P372="","",IF(P372="Total",SUM($T$19:T371),Adj_Rate/12*$R372)),""))))</f>
        <v>#N/A</v>
      </c>
      <c r="U372" s="37" t="e">
        <f t="shared" ca="1" si="85"/>
        <v>#N/A</v>
      </c>
      <c r="V372" s="44" t="e">
        <f t="shared" ca="1" si="86"/>
        <v>#N/A</v>
      </c>
    </row>
    <row r="373" spans="2:22">
      <c r="B373" s="38" t="e">
        <f t="shared" ca="1" si="87"/>
        <v>#N/A</v>
      </c>
      <c r="C373" s="77" t="e">
        <f t="shared" ca="1" si="88"/>
        <v>#N/A</v>
      </c>
      <c r="D373" s="78" t="e">
        <f ca="1">+IF(AND(B373&lt;$G$7),VLOOKUP($B$1,Inventory!$A$1:$BC$500,35,FALSE),IF(AND(B373=$G$7,pmt_timing="End"),VLOOKUP($B$1,Inventory!$A$1:$BC$500,35,FALSE),0))</f>
        <v>#N/A</v>
      </c>
      <c r="E373" s="78">
        <v>0</v>
      </c>
      <c r="F373" s="78">
        <v>0</v>
      </c>
      <c r="G373" s="78">
        <v>0</v>
      </c>
      <c r="H373" s="78">
        <v>0</v>
      </c>
      <c r="I373" s="78">
        <v>0</v>
      </c>
      <c r="J373" s="78">
        <v>0</v>
      </c>
      <c r="K373" s="78">
        <v>0</v>
      </c>
      <c r="L373" s="36" t="e">
        <f t="shared" ca="1" si="82"/>
        <v>#N/A</v>
      </c>
      <c r="M373" s="37" t="e">
        <f t="shared" ca="1" si="79"/>
        <v>#N/A</v>
      </c>
      <c r="N373" s="37" t="e">
        <f t="shared" ca="1" si="81"/>
        <v>#N/A</v>
      </c>
      <c r="P373" s="35" t="e">
        <f t="shared" ca="1" si="89"/>
        <v>#N/A</v>
      </c>
      <c r="Q373" s="59" t="e">
        <f t="shared" ca="1" si="83"/>
        <v>#N/A</v>
      </c>
      <c r="R373" s="44" t="e">
        <f t="shared" ca="1" si="84"/>
        <v>#N/A</v>
      </c>
      <c r="S373" s="37" t="e">
        <f ca="1">IF(P373="","",IF(P373="Total",SUM($S$19:S372),VLOOKUP($P373,$B$12:$L427,11,FALSE)))</f>
        <v>#N/A</v>
      </c>
      <c r="T373" s="44" t="e">
        <f ca="1">IF(payfreq="Annually",IF(P373="","",IF(P373="Total",SUM($T$19:T372),Adj_Rate*$R373)),IF(payfreq="Semiannually",IF(P373="","",IF(P373="Total",SUM($T$19:T372),Adj_Rate/2*$R373)),IF(payfreq="Quarterly",IF(P373="","",IF(P373="Total",SUM($T$19:T372),Adj_Rate/4*$R373)),IF(payfreq="Monthly",IF(P373="","",IF(P373="Total",SUM($T$19:T372),Adj_Rate/12*$R373)),""))))</f>
        <v>#N/A</v>
      </c>
      <c r="U373" s="37" t="e">
        <f t="shared" ca="1" si="85"/>
        <v>#N/A</v>
      </c>
      <c r="V373" s="44" t="e">
        <f t="shared" ca="1" si="86"/>
        <v>#N/A</v>
      </c>
    </row>
    <row r="374" spans="2:22">
      <c r="B374" s="38" t="e">
        <f t="shared" ca="1" si="87"/>
        <v>#N/A</v>
      </c>
      <c r="C374" s="77" t="e">
        <f t="shared" ca="1" si="88"/>
        <v>#N/A</v>
      </c>
      <c r="D374" s="78" t="e">
        <f ca="1">+IF(AND(B374&lt;$G$7),VLOOKUP($B$1,Inventory!$A$1:$BC$500,35,FALSE),IF(AND(B374=$G$7,pmt_timing="End"),VLOOKUP($B$1,Inventory!$A$1:$BC$500,35,FALSE),0))</f>
        <v>#N/A</v>
      </c>
      <c r="E374" s="78">
        <v>0</v>
      </c>
      <c r="F374" s="78">
        <v>0</v>
      </c>
      <c r="G374" s="78">
        <v>0</v>
      </c>
      <c r="H374" s="78">
        <v>0</v>
      </c>
      <c r="I374" s="78">
        <v>0</v>
      </c>
      <c r="J374" s="78">
        <v>0</v>
      </c>
      <c r="K374" s="78">
        <v>0</v>
      </c>
      <c r="L374" s="36" t="e">
        <f t="shared" ca="1" si="82"/>
        <v>#N/A</v>
      </c>
      <c r="M374" s="37" t="e">
        <f t="shared" ca="1" si="79"/>
        <v>#N/A</v>
      </c>
      <c r="N374" s="37" t="e">
        <f t="shared" ca="1" si="81"/>
        <v>#N/A</v>
      </c>
      <c r="P374" s="35" t="e">
        <f t="shared" ca="1" si="89"/>
        <v>#N/A</v>
      </c>
      <c r="Q374" s="59" t="e">
        <f t="shared" ca="1" si="83"/>
        <v>#N/A</v>
      </c>
      <c r="R374" s="44" t="e">
        <f t="shared" ca="1" si="84"/>
        <v>#N/A</v>
      </c>
      <c r="S374" s="37" t="e">
        <f ca="1">IF(P374="","",IF(P374="Total",SUM($S$19:S373),VLOOKUP($P374,$B$12:$L428,11,FALSE)))</f>
        <v>#N/A</v>
      </c>
      <c r="T374" s="44" t="e">
        <f ca="1">IF(payfreq="Annually",IF(P374="","",IF(P374="Total",SUM($T$19:T373),Adj_Rate*$R374)),IF(payfreq="Semiannually",IF(P374="","",IF(P374="Total",SUM($T$19:T373),Adj_Rate/2*$R374)),IF(payfreq="Quarterly",IF(P374="","",IF(P374="Total",SUM($T$19:T373),Adj_Rate/4*$R374)),IF(payfreq="Monthly",IF(P374="","",IF(P374="Total",SUM($T$19:T373),Adj_Rate/12*$R374)),""))))</f>
        <v>#N/A</v>
      </c>
      <c r="U374" s="37" t="e">
        <f t="shared" ca="1" si="85"/>
        <v>#N/A</v>
      </c>
      <c r="V374" s="44" t="e">
        <f t="shared" ca="1" si="86"/>
        <v>#N/A</v>
      </c>
    </row>
    <row r="375" spans="2:22">
      <c r="B375" s="38" t="e">
        <f t="shared" ca="1" si="87"/>
        <v>#N/A</v>
      </c>
      <c r="C375" s="77" t="e">
        <f t="shared" ca="1" si="88"/>
        <v>#N/A</v>
      </c>
      <c r="D375" s="78" t="e">
        <f ca="1">+IF(AND(B375&lt;$G$7),VLOOKUP($B$1,Inventory!$A$1:$BC$500,35,FALSE),IF(AND(B375=$G$7,pmt_timing="End"),VLOOKUP($B$1,Inventory!$A$1:$BC$500,35,FALSE),0))</f>
        <v>#N/A</v>
      </c>
      <c r="E375" s="78">
        <v>0</v>
      </c>
      <c r="F375" s="78">
        <v>0</v>
      </c>
      <c r="G375" s="78">
        <v>0</v>
      </c>
      <c r="H375" s="78">
        <v>0</v>
      </c>
      <c r="I375" s="78">
        <v>0</v>
      </c>
      <c r="J375" s="78">
        <v>0</v>
      </c>
      <c r="K375" s="78">
        <v>0</v>
      </c>
      <c r="L375" s="36" t="e">
        <f t="shared" ca="1" si="82"/>
        <v>#N/A</v>
      </c>
      <c r="M375" s="37" t="e">
        <f t="shared" ca="1" si="79"/>
        <v>#N/A</v>
      </c>
      <c r="N375" s="37" t="e">
        <f t="shared" ca="1" si="81"/>
        <v>#N/A</v>
      </c>
      <c r="P375" s="35" t="e">
        <f t="shared" ca="1" si="89"/>
        <v>#N/A</v>
      </c>
      <c r="Q375" s="59" t="e">
        <f t="shared" ca="1" si="83"/>
        <v>#N/A</v>
      </c>
      <c r="R375" s="44" t="e">
        <f t="shared" ca="1" si="84"/>
        <v>#N/A</v>
      </c>
      <c r="S375" s="37" t="e">
        <f ca="1">IF(P375="","",IF(P375="Total",SUM($S$19:S374),VLOOKUP($P375,$B$12:$L429,11,FALSE)))</f>
        <v>#N/A</v>
      </c>
      <c r="T375" s="44" t="e">
        <f ca="1">IF(payfreq="Annually",IF(P375="","",IF(P375="Total",SUM($T$19:T374),Adj_Rate*$R375)),IF(payfreq="Semiannually",IF(P375="","",IF(P375="Total",SUM($T$19:T374),Adj_Rate/2*$R375)),IF(payfreq="Quarterly",IF(P375="","",IF(P375="Total",SUM($T$19:T374),Adj_Rate/4*$R375)),IF(payfreq="Monthly",IF(P375="","",IF(P375="Total",SUM($T$19:T374),Adj_Rate/12*$R375)),""))))</f>
        <v>#N/A</v>
      </c>
      <c r="U375" s="37" t="e">
        <f t="shared" ca="1" si="85"/>
        <v>#N/A</v>
      </c>
      <c r="V375" s="44" t="e">
        <f t="shared" ca="1" si="86"/>
        <v>#N/A</v>
      </c>
    </row>
    <row r="376" spans="2:22">
      <c r="B376" s="38" t="e">
        <f t="shared" ca="1" si="87"/>
        <v>#N/A</v>
      </c>
      <c r="C376" s="77" t="e">
        <f t="shared" ca="1" si="88"/>
        <v>#N/A</v>
      </c>
      <c r="D376" s="78" t="e">
        <f ca="1">+IF(AND(B376&lt;$G$7),VLOOKUP($B$1,Inventory!$A$1:$BC$500,35,FALSE),IF(AND(B376=$G$7,pmt_timing="End"),VLOOKUP($B$1,Inventory!$A$1:$BC$500,35,FALSE),0))</f>
        <v>#N/A</v>
      </c>
      <c r="E376" s="78">
        <v>0</v>
      </c>
      <c r="F376" s="78">
        <v>0</v>
      </c>
      <c r="G376" s="78">
        <v>0</v>
      </c>
      <c r="H376" s="78">
        <v>0</v>
      </c>
      <c r="I376" s="78">
        <v>0</v>
      </c>
      <c r="J376" s="78">
        <v>0</v>
      </c>
      <c r="K376" s="78">
        <v>0</v>
      </c>
      <c r="L376" s="36" t="e">
        <f t="shared" ca="1" si="82"/>
        <v>#N/A</v>
      </c>
      <c r="M376" s="37" t="e">
        <f t="shared" ca="1" si="79"/>
        <v>#N/A</v>
      </c>
      <c r="N376" s="37" t="e">
        <f t="shared" ca="1" si="81"/>
        <v>#N/A</v>
      </c>
      <c r="P376" s="35" t="e">
        <f t="shared" ca="1" si="89"/>
        <v>#N/A</v>
      </c>
      <c r="Q376" s="59" t="e">
        <f t="shared" ca="1" si="83"/>
        <v>#N/A</v>
      </c>
      <c r="R376" s="44" t="e">
        <f t="shared" ca="1" si="84"/>
        <v>#N/A</v>
      </c>
      <c r="S376" s="37" t="e">
        <f ca="1">IF(P376="","",IF(P376="Total",SUM($S$19:S375),VLOOKUP($P376,$B$12:$L430,11,FALSE)))</f>
        <v>#N/A</v>
      </c>
      <c r="T376" s="44" t="e">
        <f ca="1">IF(payfreq="Annually",IF(P376="","",IF(P376="Total",SUM($T$19:T375),Adj_Rate*$R376)),IF(payfreq="Semiannually",IF(P376="","",IF(P376="Total",SUM($T$19:T375),Adj_Rate/2*$R376)),IF(payfreq="Quarterly",IF(P376="","",IF(P376="Total",SUM($T$19:T375),Adj_Rate/4*$R376)),IF(payfreq="Monthly",IF(P376="","",IF(P376="Total",SUM($T$19:T375),Adj_Rate/12*$R376)),""))))</f>
        <v>#N/A</v>
      </c>
      <c r="U376" s="37" t="e">
        <f t="shared" ca="1" si="85"/>
        <v>#N/A</v>
      </c>
      <c r="V376" s="44" t="e">
        <f t="shared" ca="1" si="86"/>
        <v>#N/A</v>
      </c>
    </row>
    <row r="377" spans="2:22">
      <c r="B377" s="38" t="e">
        <f t="shared" ca="1" si="87"/>
        <v>#N/A</v>
      </c>
      <c r="C377" s="77" t="e">
        <f t="shared" ca="1" si="88"/>
        <v>#N/A</v>
      </c>
      <c r="D377" s="78" t="e">
        <f ca="1">+IF(AND(B377&lt;$G$7),VLOOKUP($B$1,Inventory!$A$1:$BC$500,35,FALSE),IF(AND(B377=$G$7,pmt_timing="End"),VLOOKUP($B$1,Inventory!$A$1:$BC$500,35,FALSE),0))</f>
        <v>#N/A</v>
      </c>
      <c r="E377" s="78">
        <v>0</v>
      </c>
      <c r="F377" s="78">
        <v>0</v>
      </c>
      <c r="G377" s="78">
        <v>0</v>
      </c>
      <c r="H377" s="78">
        <v>0</v>
      </c>
      <c r="I377" s="78">
        <v>0</v>
      </c>
      <c r="J377" s="78">
        <v>0</v>
      </c>
      <c r="K377" s="78">
        <v>0</v>
      </c>
      <c r="L377" s="36" t="e">
        <f t="shared" ca="1" si="82"/>
        <v>#N/A</v>
      </c>
      <c r="M377" s="37" t="e">
        <f t="shared" ca="1" si="79"/>
        <v>#N/A</v>
      </c>
      <c r="N377" s="37" t="e">
        <f t="shared" ca="1" si="81"/>
        <v>#N/A</v>
      </c>
      <c r="P377" s="35" t="e">
        <f t="shared" ca="1" si="89"/>
        <v>#N/A</v>
      </c>
      <c r="Q377" s="59" t="e">
        <f t="shared" ca="1" si="83"/>
        <v>#N/A</v>
      </c>
      <c r="R377" s="44" t="e">
        <f t="shared" ca="1" si="84"/>
        <v>#N/A</v>
      </c>
      <c r="S377" s="37" t="e">
        <f ca="1">IF(P377="","",IF(P377="Total",SUM($S$19:S376),VLOOKUP($P377,$B$12:$L431,11,FALSE)))</f>
        <v>#N/A</v>
      </c>
      <c r="T377" s="44" t="e">
        <f ca="1">IF(payfreq="Annually",IF(P377="","",IF(P377="Total",SUM($T$19:T376),Adj_Rate*$R377)),IF(payfreq="Semiannually",IF(P377="","",IF(P377="Total",SUM($T$19:T376),Adj_Rate/2*$R377)),IF(payfreq="Quarterly",IF(P377="","",IF(P377="Total",SUM($T$19:T376),Adj_Rate/4*$R377)),IF(payfreq="Monthly",IF(P377="","",IF(P377="Total",SUM($T$19:T376),Adj_Rate/12*$R377)),""))))</f>
        <v>#N/A</v>
      </c>
      <c r="U377" s="37" t="e">
        <f t="shared" ca="1" si="85"/>
        <v>#N/A</v>
      </c>
      <c r="V377" s="44" t="e">
        <f t="shared" ca="1" si="86"/>
        <v>#N/A</v>
      </c>
    </row>
    <row r="378" spans="2:22">
      <c r="B378" s="38" t="e">
        <f t="shared" ca="1" si="87"/>
        <v>#N/A</v>
      </c>
      <c r="C378" s="77" t="e">
        <f t="shared" ca="1" si="88"/>
        <v>#N/A</v>
      </c>
      <c r="D378" s="78" t="e">
        <f ca="1">+IF(AND(B378&lt;$G$7),VLOOKUP($B$1,Inventory!$A$1:$BC$500,35,FALSE),IF(AND(B378=$G$7,pmt_timing="End"),VLOOKUP($B$1,Inventory!$A$1:$BC$500,35,FALSE),0))</f>
        <v>#N/A</v>
      </c>
      <c r="E378" s="78">
        <v>0</v>
      </c>
      <c r="F378" s="78">
        <v>0</v>
      </c>
      <c r="G378" s="78">
        <v>0</v>
      </c>
      <c r="H378" s="78">
        <v>0</v>
      </c>
      <c r="I378" s="78">
        <v>0</v>
      </c>
      <c r="J378" s="78">
        <v>0</v>
      </c>
      <c r="K378" s="78">
        <v>0</v>
      </c>
      <c r="L378" s="36" t="e">
        <f t="shared" ca="1" si="82"/>
        <v>#N/A</v>
      </c>
      <c r="M378" s="37" t="e">
        <f t="shared" ca="1" si="79"/>
        <v>#N/A</v>
      </c>
      <c r="N378" s="37" t="e">
        <f t="shared" ca="1" si="81"/>
        <v>#N/A</v>
      </c>
      <c r="P378" s="35" t="e">
        <f t="shared" ca="1" si="89"/>
        <v>#N/A</v>
      </c>
      <c r="Q378" s="59" t="e">
        <f t="shared" ca="1" si="83"/>
        <v>#N/A</v>
      </c>
      <c r="R378" s="44" t="e">
        <f t="shared" ca="1" si="84"/>
        <v>#N/A</v>
      </c>
      <c r="S378" s="37" t="e">
        <f ca="1">IF(P378="","",IF(P378="Total",SUM($S$19:S377),VLOOKUP($P378,$B$12:$L432,11,FALSE)))</f>
        <v>#N/A</v>
      </c>
      <c r="T378" s="44" t="e">
        <f ca="1">IF(payfreq="Annually",IF(P378="","",IF(P378="Total",SUM($T$19:T377),Adj_Rate*$R378)),IF(payfreq="Semiannually",IF(P378="","",IF(P378="Total",SUM($T$19:T377),Adj_Rate/2*$R378)),IF(payfreq="Quarterly",IF(P378="","",IF(P378="Total",SUM($T$19:T377),Adj_Rate/4*$R378)),IF(payfreq="Monthly",IF(P378="","",IF(P378="Total",SUM($T$19:T377),Adj_Rate/12*$R378)),""))))</f>
        <v>#N/A</v>
      </c>
      <c r="U378" s="37" t="e">
        <f t="shared" ca="1" si="85"/>
        <v>#N/A</v>
      </c>
      <c r="V378" s="44" t="e">
        <f t="shared" ca="1" si="86"/>
        <v>#N/A</v>
      </c>
    </row>
    <row r="379" spans="2:22">
      <c r="B379" s="38" t="e">
        <f t="shared" ca="1" si="87"/>
        <v>#N/A</v>
      </c>
      <c r="C379" s="77" t="e">
        <f t="shared" ca="1" si="88"/>
        <v>#N/A</v>
      </c>
      <c r="D379" s="78" t="e">
        <f ca="1">+IF(AND(B379&lt;$G$7),VLOOKUP($B$1,Inventory!$A$1:$BC$500,35,FALSE),IF(AND(B379=$G$7,pmt_timing="End"),VLOOKUP($B$1,Inventory!$A$1:$BC$500,35,FALSE),0))</f>
        <v>#N/A</v>
      </c>
      <c r="E379" s="78">
        <v>0</v>
      </c>
      <c r="F379" s="78">
        <v>0</v>
      </c>
      <c r="G379" s="78">
        <v>0</v>
      </c>
      <c r="H379" s="78">
        <v>0</v>
      </c>
      <c r="I379" s="78">
        <v>0</v>
      </c>
      <c r="J379" s="78">
        <v>0</v>
      </c>
      <c r="K379" s="78">
        <v>0</v>
      </c>
      <c r="L379" s="36" t="e">
        <f t="shared" ca="1" si="82"/>
        <v>#N/A</v>
      </c>
      <c r="M379" s="37" t="e">
        <f t="shared" ca="1" si="79"/>
        <v>#N/A</v>
      </c>
      <c r="N379" s="37" t="e">
        <f t="shared" ca="1" si="81"/>
        <v>#N/A</v>
      </c>
      <c r="P379" s="35" t="e">
        <f t="shared" ca="1" si="89"/>
        <v>#N/A</v>
      </c>
      <c r="Q379" s="59" t="e">
        <f t="shared" ca="1" si="83"/>
        <v>#N/A</v>
      </c>
      <c r="R379" s="44" t="e">
        <f t="shared" ca="1" si="84"/>
        <v>#N/A</v>
      </c>
      <c r="S379" s="37" t="e">
        <f ca="1">IF(P379="","",IF(P379="Total",SUM($S$19:S378),VLOOKUP($P379,$B$12:$L433,11,FALSE)))</f>
        <v>#N/A</v>
      </c>
      <c r="T379" s="44" t="e">
        <f ca="1">IF(payfreq="Annually",IF(P379="","",IF(P379="Total",SUM($T$19:T378),Adj_Rate*$R379)),IF(payfreq="Semiannually",IF(P379="","",IF(P379="Total",SUM($T$19:T378),Adj_Rate/2*$R379)),IF(payfreq="Quarterly",IF(P379="","",IF(P379="Total",SUM($T$19:T378),Adj_Rate/4*$R379)),IF(payfreq="Monthly",IF(P379="","",IF(P379="Total",SUM($T$19:T378),Adj_Rate/12*$R379)),""))))</f>
        <v>#N/A</v>
      </c>
      <c r="U379" s="37" t="e">
        <f t="shared" ca="1" si="85"/>
        <v>#N/A</v>
      </c>
      <c r="V379" s="44" t="e">
        <f t="shared" ca="1" si="86"/>
        <v>#N/A</v>
      </c>
    </row>
    <row r="380" spans="2:22">
      <c r="B380" s="38" t="e">
        <f t="shared" ca="1" si="87"/>
        <v>#N/A</v>
      </c>
      <c r="C380" s="77" t="e">
        <f t="shared" ca="1" si="88"/>
        <v>#N/A</v>
      </c>
      <c r="D380" s="78" t="e">
        <f ca="1">+IF(AND(B380&lt;$G$7),VLOOKUP($B$1,Inventory!$A$1:$BC$500,35,FALSE),IF(AND(B380=$G$7,pmt_timing="End"),VLOOKUP($B$1,Inventory!$A$1:$BC$500,35,FALSE),0))</f>
        <v>#N/A</v>
      </c>
      <c r="E380" s="78">
        <v>0</v>
      </c>
      <c r="F380" s="78">
        <v>0</v>
      </c>
      <c r="G380" s="78">
        <v>0</v>
      </c>
      <c r="H380" s="78">
        <v>0</v>
      </c>
      <c r="I380" s="78">
        <v>0</v>
      </c>
      <c r="J380" s="78">
        <v>0</v>
      </c>
      <c r="K380" s="78">
        <v>0</v>
      </c>
      <c r="L380" s="36" t="e">
        <f t="shared" ca="1" si="82"/>
        <v>#N/A</v>
      </c>
      <c r="M380" s="37" t="e">
        <f t="shared" ca="1" si="79"/>
        <v>#N/A</v>
      </c>
      <c r="N380" s="37" t="e">
        <f t="shared" ca="1" si="81"/>
        <v>#N/A</v>
      </c>
      <c r="P380" s="35" t="e">
        <f t="shared" ca="1" si="89"/>
        <v>#N/A</v>
      </c>
      <c r="Q380" s="59" t="e">
        <f t="shared" ca="1" si="83"/>
        <v>#N/A</v>
      </c>
      <c r="R380" s="44" t="e">
        <f t="shared" ca="1" si="84"/>
        <v>#N/A</v>
      </c>
      <c r="S380" s="37" t="e">
        <f ca="1">IF(P380="","",IF(P380="Total",SUM($S$19:S379),VLOOKUP($P380,$B$12:$L434,11,FALSE)))</f>
        <v>#N/A</v>
      </c>
      <c r="T380" s="44" t="e">
        <f ca="1">IF(payfreq="Annually",IF(P380="","",IF(P380="Total",SUM($T$19:T379),Adj_Rate*$R380)),IF(payfreq="Semiannually",IF(P380="","",IF(P380="Total",SUM($T$19:T379),Adj_Rate/2*$R380)),IF(payfreq="Quarterly",IF(P380="","",IF(P380="Total",SUM($T$19:T379),Adj_Rate/4*$R380)),IF(payfreq="Monthly",IF(P380="","",IF(P380="Total",SUM($T$19:T379),Adj_Rate/12*$R380)),""))))</f>
        <v>#N/A</v>
      </c>
      <c r="U380" s="37" t="e">
        <f t="shared" ca="1" si="85"/>
        <v>#N/A</v>
      </c>
      <c r="V380" s="44" t="e">
        <f t="shared" ca="1" si="86"/>
        <v>#N/A</v>
      </c>
    </row>
    <row r="381" spans="2:22">
      <c r="B381" s="38" t="e">
        <f t="shared" ca="1" si="87"/>
        <v>#N/A</v>
      </c>
      <c r="C381" s="77" t="e">
        <f t="shared" ca="1" si="88"/>
        <v>#N/A</v>
      </c>
      <c r="D381" s="78" t="e">
        <f ca="1">+IF(AND(B381&lt;$G$7),VLOOKUP($B$1,Inventory!$A$1:$BC$500,35,FALSE),IF(AND(B381=$G$7,pmt_timing="End"),VLOOKUP($B$1,Inventory!$A$1:$BC$500,35,FALSE),0))</f>
        <v>#N/A</v>
      </c>
      <c r="E381" s="78">
        <v>0</v>
      </c>
      <c r="F381" s="78">
        <v>0</v>
      </c>
      <c r="G381" s="78">
        <v>0</v>
      </c>
      <c r="H381" s="78">
        <v>0</v>
      </c>
      <c r="I381" s="78">
        <v>0</v>
      </c>
      <c r="J381" s="78">
        <v>0</v>
      </c>
      <c r="K381" s="78">
        <v>0</v>
      </c>
      <c r="L381" s="36" t="e">
        <f t="shared" ca="1" si="82"/>
        <v>#N/A</v>
      </c>
      <c r="M381" s="37" t="e">
        <f t="shared" ca="1" si="79"/>
        <v>#N/A</v>
      </c>
      <c r="N381" s="37" t="e">
        <f t="shared" ca="1" si="81"/>
        <v>#N/A</v>
      </c>
      <c r="P381" s="35" t="e">
        <f t="shared" ca="1" si="89"/>
        <v>#N/A</v>
      </c>
      <c r="Q381" s="59" t="e">
        <f t="shared" ca="1" si="83"/>
        <v>#N/A</v>
      </c>
      <c r="R381" s="44" t="e">
        <f t="shared" ca="1" si="84"/>
        <v>#N/A</v>
      </c>
      <c r="S381" s="37" t="e">
        <f ca="1">IF(P381="","",IF(P381="Total",SUM($S$19:S380),VLOOKUP($P381,$B$12:$L435,11,FALSE)))</f>
        <v>#N/A</v>
      </c>
      <c r="T381" s="44" t="e">
        <f ca="1">IF(payfreq="Annually",IF(P381="","",IF(P381="Total",SUM($T$19:T380),Adj_Rate*$R381)),IF(payfreq="Semiannually",IF(P381="","",IF(P381="Total",SUM($T$19:T380),Adj_Rate/2*$R381)),IF(payfreq="Quarterly",IF(P381="","",IF(P381="Total",SUM($T$19:T380),Adj_Rate/4*$R381)),IF(payfreq="Monthly",IF(P381="","",IF(P381="Total",SUM($T$19:T380),Adj_Rate/12*$R381)),""))))</f>
        <v>#N/A</v>
      </c>
      <c r="U381" s="37" t="e">
        <f t="shared" ca="1" si="85"/>
        <v>#N/A</v>
      </c>
      <c r="V381" s="44" t="e">
        <f t="shared" ca="1" si="86"/>
        <v>#N/A</v>
      </c>
    </row>
    <row r="382" spans="2:22">
      <c r="B382" s="38" t="e">
        <f t="shared" ca="1" si="87"/>
        <v>#N/A</v>
      </c>
      <c r="C382" s="77" t="e">
        <f t="shared" ca="1" si="88"/>
        <v>#N/A</v>
      </c>
      <c r="D382" s="78" t="e">
        <f ca="1">+IF(AND(B382&lt;$G$7),VLOOKUP($B$1,Inventory!$A$1:$BC$500,35,FALSE),IF(AND(B382=$G$7,pmt_timing="End"),VLOOKUP($B$1,Inventory!$A$1:$BC$500,35,FALSE),0))</f>
        <v>#N/A</v>
      </c>
      <c r="E382" s="78">
        <v>0</v>
      </c>
      <c r="F382" s="78">
        <v>0</v>
      </c>
      <c r="G382" s="78">
        <v>0</v>
      </c>
      <c r="H382" s="78">
        <v>0</v>
      </c>
      <c r="I382" s="78">
        <v>0</v>
      </c>
      <c r="J382" s="78">
        <v>0</v>
      </c>
      <c r="K382" s="78">
        <v>0</v>
      </c>
      <c r="L382" s="36" t="e">
        <f t="shared" ca="1" si="82"/>
        <v>#N/A</v>
      </c>
      <c r="M382" s="37" t="e">
        <f t="shared" ca="1" si="79"/>
        <v>#N/A</v>
      </c>
      <c r="N382" s="37" t="e">
        <f t="shared" ca="1" si="81"/>
        <v>#N/A</v>
      </c>
      <c r="P382" s="35" t="e">
        <f t="shared" ca="1" si="89"/>
        <v>#N/A</v>
      </c>
      <c r="Q382" s="59" t="e">
        <f t="shared" ca="1" si="83"/>
        <v>#N/A</v>
      </c>
      <c r="R382" s="44" t="e">
        <f t="shared" ca="1" si="84"/>
        <v>#N/A</v>
      </c>
      <c r="S382" s="37" t="e">
        <f ca="1">IF(P382="","",IF(P382="Total",SUM($S$19:S381),VLOOKUP($P382,$B$12:$L436,11,FALSE)))</f>
        <v>#N/A</v>
      </c>
      <c r="T382" s="44" t="e">
        <f ca="1">IF(payfreq="Annually",IF(P382="","",IF(P382="Total",SUM($T$19:T381),Adj_Rate*$R382)),IF(payfreq="Semiannually",IF(P382="","",IF(P382="Total",SUM($T$19:T381),Adj_Rate/2*$R382)),IF(payfreq="Quarterly",IF(P382="","",IF(P382="Total",SUM($T$19:T381),Adj_Rate/4*$R382)),IF(payfreq="Monthly",IF(P382="","",IF(P382="Total",SUM($T$19:T381),Adj_Rate/12*$R382)),""))))</f>
        <v>#N/A</v>
      </c>
      <c r="U382" s="37" t="e">
        <f t="shared" ca="1" si="85"/>
        <v>#N/A</v>
      </c>
      <c r="V382" s="44" t="e">
        <f t="shared" ca="1" si="86"/>
        <v>#N/A</v>
      </c>
    </row>
    <row r="383" spans="2:22">
      <c r="B383" s="38" t="e">
        <f t="shared" ca="1" si="87"/>
        <v>#N/A</v>
      </c>
      <c r="C383" s="77" t="e">
        <f t="shared" ca="1" si="88"/>
        <v>#N/A</v>
      </c>
      <c r="D383" s="78" t="e">
        <f ca="1">+IF(AND(B383&lt;$G$7),VLOOKUP($B$1,Inventory!$A$1:$BC$500,35,FALSE),IF(AND(B383=$G$7,pmt_timing="End"),VLOOKUP($B$1,Inventory!$A$1:$BC$500,35,FALSE),0))</f>
        <v>#N/A</v>
      </c>
      <c r="E383" s="78">
        <v>0</v>
      </c>
      <c r="F383" s="78">
        <v>0</v>
      </c>
      <c r="G383" s="78">
        <v>0</v>
      </c>
      <c r="H383" s="78">
        <v>0</v>
      </c>
      <c r="I383" s="78">
        <v>0</v>
      </c>
      <c r="J383" s="78">
        <v>0</v>
      </c>
      <c r="K383" s="78">
        <v>0</v>
      </c>
      <c r="L383" s="36" t="e">
        <f t="shared" ca="1" si="82"/>
        <v>#N/A</v>
      </c>
      <c r="M383" s="37" t="e">
        <f t="shared" ca="1" si="79"/>
        <v>#N/A</v>
      </c>
      <c r="N383" s="37" t="e">
        <f t="shared" ca="1" si="81"/>
        <v>#N/A</v>
      </c>
      <c r="P383" s="35" t="e">
        <f t="shared" ca="1" si="89"/>
        <v>#N/A</v>
      </c>
      <c r="Q383" s="59" t="e">
        <f t="shared" ca="1" si="83"/>
        <v>#N/A</v>
      </c>
      <c r="R383" s="44" t="e">
        <f t="shared" ca="1" si="84"/>
        <v>#N/A</v>
      </c>
      <c r="S383" s="37" t="e">
        <f ca="1">IF(P383="","",IF(P383="Total",SUM($S$19:S382),VLOOKUP($P383,$B$12:$L437,11,FALSE)))</f>
        <v>#N/A</v>
      </c>
      <c r="T383" s="44" t="e">
        <f ca="1">IF(payfreq="Annually",IF(P383="","",IF(P383="Total",SUM($T$19:T382),Adj_Rate*$R383)),IF(payfreq="Semiannually",IF(P383="","",IF(P383="Total",SUM($T$19:T382),Adj_Rate/2*$R383)),IF(payfreq="Quarterly",IF(P383="","",IF(P383="Total",SUM($T$19:T382),Adj_Rate/4*$R383)),IF(payfreq="Monthly",IF(P383="","",IF(P383="Total",SUM($T$19:T382),Adj_Rate/12*$R383)),""))))</f>
        <v>#N/A</v>
      </c>
      <c r="U383" s="37" t="e">
        <f t="shared" ca="1" si="85"/>
        <v>#N/A</v>
      </c>
      <c r="V383" s="44" t="e">
        <f t="shared" ca="1" si="86"/>
        <v>#N/A</v>
      </c>
    </row>
    <row r="384" spans="2:22">
      <c r="B384" s="38" t="e">
        <f t="shared" ca="1" si="87"/>
        <v>#N/A</v>
      </c>
      <c r="C384" s="77" t="e">
        <f t="shared" ca="1" si="88"/>
        <v>#N/A</v>
      </c>
      <c r="D384" s="78" t="e">
        <f ca="1">+IF(AND(B384&lt;$G$7),VLOOKUP($B$1,Inventory!$A$1:$BC$500,35,FALSE),IF(AND(B384=$G$7,pmt_timing="End"),VLOOKUP($B$1,Inventory!$A$1:$BC$500,35,FALSE),0))</f>
        <v>#N/A</v>
      </c>
      <c r="E384" s="78">
        <v>0</v>
      </c>
      <c r="F384" s="78">
        <v>0</v>
      </c>
      <c r="G384" s="78">
        <v>0</v>
      </c>
      <c r="H384" s="78">
        <v>0</v>
      </c>
      <c r="I384" s="78">
        <v>0</v>
      </c>
      <c r="J384" s="78">
        <v>0</v>
      </c>
      <c r="K384" s="78">
        <v>0</v>
      </c>
      <c r="L384" s="36" t="e">
        <f t="shared" ca="1" si="82"/>
        <v>#N/A</v>
      </c>
      <c r="M384" s="37" t="e">
        <f t="shared" ca="1" si="79"/>
        <v>#N/A</v>
      </c>
      <c r="N384" s="37" t="e">
        <f t="shared" ca="1" si="81"/>
        <v>#N/A</v>
      </c>
      <c r="P384" s="35" t="e">
        <f t="shared" ca="1" si="89"/>
        <v>#N/A</v>
      </c>
      <c r="Q384" s="59" t="e">
        <f t="shared" ca="1" si="83"/>
        <v>#N/A</v>
      </c>
      <c r="R384" s="44" t="e">
        <f t="shared" ca="1" si="84"/>
        <v>#N/A</v>
      </c>
      <c r="S384" s="37" t="e">
        <f ca="1">IF(P384="","",IF(P384="Total",SUM($S$19:S383),VLOOKUP($P384,$B$12:$L438,11,FALSE)))</f>
        <v>#N/A</v>
      </c>
      <c r="T384" s="44" t="e">
        <f ca="1">IF(payfreq="Annually",IF(P384="","",IF(P384="Total",SUM($T$19:T383),Adj_Rate*$R384)),IF(payfreq="Semiannually",IF(P384="","",IF(P384="Total",SUM($T$19:T383),Adj_Rate/2*$R384)),IF(payfreq="Quarterly",IF(P384="","",IF(P384="Total",SUM($T$19:T383),Adj_Rate/4*$R384)),IF(payfreq="Monthly",IF(P384="","",IF(P384="Total",SUM($T$19:T383),Adj_Rate/12*$R384)),""))))</f>
        <v>#N/A</v>
      </c>
      <c r="U384" s="37" t="e">
        <f t="shared" ca="1" si="85"/>
        <v>#N/A</v>
      </c>
      <c r="V384" s="44" t="e">
        <f t="shared" ca="1" si="86"/>
        <v>#N/A</v>
      </c>
    </row>
    <row r="385" spans="2:22">
      <c r="B385" s="38" t="e">
        <f t="shared" ca="1" si="87"/>
        <v>#N/A</v>
      </c>
      <c r="C385" s="77" t="e">
        <f t="shared" ca="1" si="88"/>
        <v>#N/A</v>
      </c>
      <c r="D385" s="78" t="e">
        <f ca="1">+IF(AND(B385&lt;$G$7),VLOOKUP($B$1,Inventory!$A$1:$BC$500,35,FALSE),IF(AND(B385=$G$7,pmt_timing="End"),VLOOKUP($B$1,Inventory!$A$1:$BC$500,35,FALSE),0))</f>
        <v>#N/A</v>
      </c>
      <c r="E385" s="78">
        <v>0</v>
      </c>
      <c r="F385" s="78">
        <v>0</v>
      </c>
      <c r="G385" s="78">
        <v>0</v>
      </c>
      <c r="H385" s="78">
        <v>0</v>
      </c>
      <c r="I385" s="78">
        <v>0</v>
      </c>
      <c r="J385" s="78">
        <v>0</v>
      </c>
      <c r="K385" s="78">
        <v>0</v>
      </c>
      <c r="L385" s="36" t="e">
        <f t="shared" ca="1" si="82"/>
        <v>#N/A</v>
      </c>
      <c r="M385" s="37" t="e">
        <f t="shared" ca="1" si="79"/>
        <v>#N/A</v>
      </c>
      <c r="N385" s="37" t="e">
        <f t="shared" ca="1" si="81"/>
        <v>#N/A</v>
      </c>
      <c r="P385" s="35" t="e">
        <f t="shared" ca="1" si="89"/>
        <v>#N/A</v>
      </c>
      <c r="Q385" s="59" t="e">
        <f t="shared" ca="1" si="83"/>
        <v>#N/A</v>
      </c>
      <c r="R385" s="44" t="e">
        <f t="shared" ca="1" si="84"/>
        <v>#N/A</v>
      </c>
      <c r="S385" s="37" t="e">
        <f ca="1">IF(P385="","",IF(P385="Total",SUM($S$19:S384),VLOOKUP($P385,$B$12:$L439,11,FALSE)))</f>
        <v>#N/A</v>
      </c>
      <c r="T385" s="44" t="e">
        <f ca="1">IF(payfreq="Annually",IF(P385="","",IF(P385="Total",SUM($T$19:T384),Adj_Rate*$R385)),IF(payfreq="Semiannually",IF(P385="","",IF(P385="Total",SUM($T$19:T384),Adj_Rate/2*$R385)),IF(payfreq="Quarterly",IF(P385="","",IF(P385="Total",SUM($T$19:T384),Adj_Rate/4*$R385)),IF(payfreq="Monthly",IF(P385="","",IF(P385="Total",SUM($T$19:T384),Adj_Rate/12*$R385)),""))))</f>
        <v>#N/A</v>
      </c>
      <c r="U385" s="37" t="e">
        <f t="shared" ca="1" si="85"/>
        <v>#N/A</v>
      </c>
      <c r="V385" s="44" t="e">
        <f t="shared" ca="1" si="86"/>
        <v>#N/A</v>
      </c>
    </row>
    <row r="386" spans="2:22">
      <c r="B386" s="38" t="e">
        <f t="shared" ca="1" si="87"/>
        <v>#N/A</v>
      </c>
      <c r="C386" s="77" t="e">
        <f t="shared" ca="1" si="88"/>
        <v>#N/A</v>
      </c>
      <c r="D386" s="78" t="e">
        <f ca="1">+IF(AND(B386&lt;$G$7),VLOOKUP($B$1,Inventory!$A$1:$BC$500,35,FALSE),IF(AND(B386=$G$7,pmt_timing="End"),VLOOKUP($B$1,Inventory!$A$1:$BC$500,35,FALSE),0))</f>
        <v>#N/A</v>
      </c>
      <c r="E386" s="78">
        <v>0</v>
      </c>
      <c r="F386" s="78">
        <v>0</v>
      </c>
      <c r="G386" s="78">
        <v>0</v>
      </c>
      <c r="H386" s="78">
        <v>0</v>
      </c>
      <c r="I386" s="78">
        <v>0</v>
      </c>
      <c r="J386" s="78">
        <v>0</v>
      </c>
      <c r="K386" s="78">
        <v>0</v>
      </c>
      <c r="L386" s="36" t="e">
        <f t="shared" ca="1" si="82"/>
        <v>#N/A</v>
      </c>
      <c r="M386" s="37" t="e">
        <f t="shared" ca="1" si="79"/>
        <v>#N/A</v>
      </c>
      <c r="N386" s="37" t="e">
        <f t="shared" ca="1" si="81"/>
        <v>#N/A</v>
      </c>
      <c r="P386" s="35" t="e">
        <f t="shared" ca="1" si="89"/>
        <v>#N/A</v>
      </c>
      <c r="Q386" s="59" t="e">
        <f t="shared" ca="1" si="83"/>
        <v>#N/A</v>
      </c>
      <c r="R386" s="44" t="e">
        <f t="shared" ca="1" si="84"/>
        <v>#N/A</v>
      </c>
      <c r="S386" s="37" t="e">
        <f ca="1">IF(P386="","",IF(P386="Total",SUM($S$19:S385),VLOOKUP($P386,$B$12:$L440,11,FALSE)))</f>
        <v>#N/A</v>
      </c>
      <c r="T386" s="44" t="e">
        <f ca="1">IF(payfreq="Annually",IF(P386="","",IF(P386="Total",SUM($T$19:T385),Adj_Rate*$R386)),IF(payfreq="Semiannually",IF(P386="","",IF(P386="Total",SUM($T$19:T385),Adj_Rate/2*$R386)),IF(payfreq="Quarterly",IF(P386="","",IF(P386="Total",SUM($T$19:T385),Adj_Rate/4*$R386)),IF(payfreq="Monthly",IF(P386="","",IF(P386="Total",SUM($T$19:T385),Adj_Rate/12*$R386)),""))))</f>
        <v>#N/A</v>
      </c>
      <c r="U386" s="37" t="e">
        <f t="shared" ca="1" si="85"/>
        <v>#N/A</v>
      </c>
      <c r="V386" s="44" t="e">
        <f t="shared" ca="1" si="86"/>
        <v>#N/A</v>
      </c>
    </row>
    <row r="387" spans="2:22">
      <c r="B387" s="38" t="e">
        <f t="shared" ca="1" si="87"/>
        <v>#N/A</v>
      </c>
      <c r="C387" s="77" t="e">
        <f t="shared" ca="1" si="88"/>
        <v>#N/A</v>
      </c>
      <c r="D387" s="78" t="e">
        <f ca="1">+IF(AND(B387&lt;$G$7),VLOOKUP($B$1,Inventory!$A$1:$BC$500,35,FALSE),IF(AND(B387=$G$7,pmt_timing="End"),VLOOKUP($B$1,Inventory!$A$1:$BC$500,35,FALSE),0))</f>
        <v>#N/A</v>
      </c>
      <c r="E387" s="78">
        <v>0</v>
      </c>
      <c r="F387" s="78">
        <v>0</v>
      </c>
      <c r="G387" s="78">
        <v>0</v>
      </c>
      <c r="H387" s="78">
        <v>0</v>
      </c>
      <c r="I387" s="78">
        <v>0</v>
      </c>
      <c r="J387" s="78">
        <v>0</v>
      </c>
      <c r="K387" s="78">
        <v>0</v>
      </c>
      <c r="L387" s="36" t="e">
        <f t="shared" ca="1" si="82"/>
        <v>#N/A</v>
      </c>
      <c r="M387" s="37" t="e">
        <f t="shared" ca="1" si="79"/>
        <v>#N/A</v>
      </c>
      <c r="N387" s="37" t="e">
        <f t="shared" ca="1" si="81"/>
        <v>#N/A</v>
      </c>
      <c r="P387" s="35" t="e">
        <f t="shared" ca="1" si="89"/>
        <v>#N/A</v>
      </c>
      <c r="Q387" s="59" t="e">
        <f t="shared" ca="1" si="83"/>
        <v>#N/A</v>
      </c>
      <c r="R387" s="44" t="e">
        <f t="shared" ca="1" si="84"/>
        <v>#N/A</v>
      </c>
      <c r="S387" s="37" t="e">
        <f ca="1">IF(P387="","",IF(P387="Total",SUM($S$19:S386),VLOOKUP($P387,$B$12:$L441,11,FALSE)))</f>
        <v>#N/A</v>
      </c>
      <c r="T387" s="44" t="e">
        <f ca="1">IF(payfreq="Annually",IF(P387="","",IF(P387="Total",SUM($T$19:T386),Adj_Rate*$R387)),IF(payfreq="Semiannually",IF(P387="","",IF(P387="Total",SUM($T$19:T386),Adj_Rate/2*$R387)),IF(payfreq="Quarterly",IF(P387="","",IF(P387="Total",SUM($T$19:T386),Adj_Rate/4*$R387)),IF(payfreq="Monthly",IF(P387="","",IF(P387="Total",SUM($T$19:T386),Adj_Rate/12*$R387)),""))))</f>
        <v>#N/A</v>
      </c>
      <c r="U387" s="37" t="e">
        <f t="shared" ca="1" si="85"/>
        <v>#N/A</v>
      </c>
      <c r="V387" s="44" t="e">
        <f t="shared" ca="1" si="86"/>
        <v>#N/A</v>
      </c>
    </row>
    <row r="388" spans="2:22">
      <c r="B388" s="38" t="e">
        <f t="shared" ca="1" si="87"/>
        <v>#N/A</v>
      </c>
      <c r="C388" s="77" t="e">
        <f t="shared" ca="1" si="88"/>
        <v>#N/A</v>
      </c>
      <c r="D388" s="78" t="e">
        <f ca="1">+IF(AND(B388&lt;$G$7),VLOOKUP($B$1,Inventory!$A$1:$BC$500,35,FALSE),IF(AND(B388=$G$7,pmt_timing="End"),VLOOKUP($B$1,Inventory!$A$1:$BC$500,35,FALSE),0))</f>
        <v>#N/A</v>
      </c>
      <c r="E388" s="78">
        <v>0</v>
      </c>
      <c r="F388" s="78">
        <v>0</v>
      </c>
      <c r="G388" s="78">
        <v>0</v>
      </c>
      <c r="H388" s="78">
        <v>0</v>
      </c>
      <c r="I388" s="78">
        <v>0</v>
      </c>
      <c r="J388" s="78">
        <v>0</v>
      </c>
      <c r="K388" s="78">
        <v>0</v>
      </c>
      <c r="L388" s="36" t="e">
        <f t="shared" ca="1" si="82"/>
        <v>#N/A</v>
      </c>
      <c r="M388" s="37" t="e">
        <f t="shared" ca="1" si="79"/>
        <v>#N/A</v>
      </c>
      <c r="N388" s="37" t="e">
        <f t="shared" ca="1" si="81"/>
        <v>#N/A</v>
      </c>
      <c r="P388" s="35" t="e">
        <f t="shared" ca="1" si="89"/>
        <v>#N/A</v>
      </c>
      <c r="Q388" s="59" t="e">
        <f t="shared" ca="1" si="83"/>
        <v>#N/A</v>
      </c>
      <c r="R388" s="44" t="e">
        <f t="shared" ca="1" si="84"/>
        <v>#N/A</v>
      </c>
      <c r="S388" s="37" t="e">
        <f ca="1">IF(P388="","",IF(P388="Total",SUM($S$19:S387),VLOOKUP($P388,$B$12:$L442,11,FALSE)))</f>
        <v>#N/A</v>
      </c>
      <c r="T388" s="44" t="e">
        <f ca="1">IF(payfreq="Annually",IF(P388="","",IF(P388="Total",SUM($T$19:T387),Adj_Rate*$R388)),IF(payfreq="Semiannually",IF(P388="","",IF(P388="Total",SUM($T$19:T387),Adj_Rate/2*$R388)),IF(payfreq="Quarterly",IF(P388="","",IF(P388="Total",SUM($T$19:T387),Adj_Rate/4*$R388)),IF(payfreq="Monthly",IF(P388="","",IF(P388="Total",SUM($T$19:T387),Adj_Rate/12*$R388)),""))))</f>
        <v>#N/A</v>
      </c>
      <c r="U388" s="37" t="e">
        <f t="shared" ca="1" si="85"/>
        <v>#N/A</v>
      </c>
      <c r="V388" s="44" t="e">
        <f t="shared" ca="1" si="86"/>
        <v>#N/A</v>
      </c>
    </row>
    <row r="389" spans="2:22">
      <c r="B389" s="38" t="e">
        <f t="shared" ca="1" si="87"/>
        <v>#N/A</v>
      </c>
      <c r="C389" s="77" t="e">
        <f t="shared" ca="1" si="88"/>
        <v>#N/A</v>
      </c>
      <c r="D389" s="78" t="e">
        <f ca="1">+IF(AND(B389&lt;$G$7),VLOOKUP($B$1,Inventory!$A$1:$BC$500,35,FALSE),IF(AND(B389=$G$7,pmt_timing="End"),VLOOKUP($B$1,Inventory!$A$1:$BC$500,35,FALSE),0))</f>
        <v>#N/A</v>
      </c>
      <c r="E389" s="78">
        <v>0</v>
      </c>
      <c r="F389" s="78">
        <v>0</v>
      </c>
      <c r="G389" s="78">
        <v>0</v>
      </c>
      <c r="H389" s="78">
        <v>0</v>
      </c>
      <c r="I389" s="78">
        <v>0</v>
      </c>
      <c r="J389" s="78">
        <v>0</v>
      </c>
      <c r="K389" s="78">
        <v>0</v>
      </c>
      <c r="L389" s="36" t="e">
        <f t="shared" ca="1" si="82"/>
        <v>#N/A</v>
      </c>
      <c r="M389" s="37" t="e">
        <f t="shared" ca="1" si="79"/>
        <v>#N/A</v>
      </c>
      <c r="N389" s="37" t="e">
        <f t="shared" ca="1" si="81"/>
        <v>#N/A</v>
      </c>
      <c r="P389" s="35" t="e">
        <f t="shared" ca="1" si="89"/>
        <v>#N/A</v>
      </c>
      <c r="Q389" s="59" t="e">
        <f t="shared" ca="1" si="83"/>
        <v>#N/A</v>
      </c>
      <c r="R389" s="44" t="e">
        <f t="shared" ca="1" si="84"/>
        <v>#N/A</v>
      </c>
      <c r="S389" s="37" t="e">
        <f ca="1">IF(P389="","",IF(P389="Total",SUM($S$19:S388),VLOOKUP($P389,$B$12:$L443,11,FALSE)))</f>
        <v>#N/A</v>
      </c>
      <c r="T389" s="44" t="e">
        <f ca="1">IF(payfreq="Annually",IF(P389="","",IF(P389="Total",SUM($T$19:T388),Adj_Rate*$R389)),IF(payfreq="Semiannually",IF(P389="","",IF(P389="Total",SUM($T$19:T388),Adj_Rate/2*$R389)),IF(payfreq="Quarterly",IF(P389="","",IF(P389="Total",SUM($T$19:T388),Adj_Rate/4*$R389)),IF(payfreq="Monthly",IF(P389="","",IF(P389="Total",SUM($T$19:T388),Adj_Rate/12*$R389)),""))))</f>
        <v>#N/A</v>
      </c>
      <c r="U389" s="37" t="e">
        <f t="shared" ca="1" si="85"/>
        <v>#N/A</v>
      </c>
      <c r="V389" s="44" t="e">
        <f t="shared" ca="1" si="86"/>
        <v>#N/A</v>
      </c>
    </row>
    <row r="390" spans="2:22">
      <c r="B390" s="38" t="e">
        <f t="shared" ca="1" si="87"/>
        <v>#N/A</v>
      </c>
      <c r="C390" s="77" t="e">
        <f t="shared" ca="1" si="88"/>
        <v>#N/A</v>
      </c>
      <c r="D390" s="78" t="e">
        <f ca="1">+IF(AND(B390&lt;$G$7),VLOOKUP($B$1,Inventory!$A$1:$BC$500,35,FALSE),IF(AND(B390=$G$7,pmt_timing="End"),VLOOKUP($B$1,Inventory!$A$1:$BC$500,35,FALSE),0))</f>
        <v>#N/A</v>
      </c>
      <c r="E390" s="78">
        <v>0</v>
      </c>
      <c r="F390" s="78">
        <v>0</v>
      </c>
      <c r="G390" s="78">
        <v>0</v>
      </c>
      <c r="H390" s="78">
        <v>0</v>
      </c>
      <c r="I390" s="78">
        <v>0</v>
      </c>
      <c r="J390" s="78">
        <v>0</v>
      </c>
      <c r="K390" s="78">
        <v>0</v>
      </c>
      <c r="L390" s="36" t="e">
        <f t="shared" ca="1" si="82"/>
        <v>#N/A</v>
      </c>
      <c r="M390" s="37" t="e">
        <f t="shared" ca="1" si="79"/>
        <v>#N/A</v>
      </c>
      <c r="N390" s="37" t="e">
        <f t="shared" ca="1" si="81"/>
        <v>#N/A</v>
      </c>
      <c r="P390" s="35" t="e">
        <f t="shared" ca="1" si="89"/>
        <v>#N/A</v>
      </c>
      <c r="Q390" s="59" t="e">
        <f t="shared" ca="1" si="83"/>
        <v>#N/A</v>
      </c>
      <c r="R390" s="44" t="e">
        <f t="shared" ca="1" si="84"/>
        <v>#N/A</v>
      </c>
      <c r="S390" s="37" t="e">
        <f ca="1">IF(P390="","",IF(P390="Total",SUM($S$19:S389),VLOOKUP($P390,$B$12:$L444,11,FALSE)))</f>
        <v>#N/A</v>
      </c>
      <c r="T390" s="44" t="e">
        <f ca="1">IF(payfreq="Annually",IF(P390="","",IF(P390="Total",SUM($T$19:T389),Adj_Rate*$R390)),IF(payfreq="Semiannually",IF(P390="","",IF(P390="Total",SUM($T$19:T389),Adj_Rate/2*$R390)),IF(payfreq="Quarterly",IF(P390="","",IF(P390="Total",SUM($T$19:T389),Adj_Rate/4*$R390)),IF(payfreq="Monthly",IF(P390="","",IF(P390="Total",SUM($T$19:T389),Adj_Rate/12*$R390)),""))))</f>
        <v>#N/A</v>
      </c>
      <c r="U390" s="37" t="e">
        <f t="shared" ca="1" si="85"/>
        <v>#N/A</v>
      </c>
      <c r="V390" s="44" t="e">
        <f t="shared" ca="1" si="86"/>
        <v>#N/A</v>
      </c>
    </row>
    <row r="391" spans="2:22">
      <c r="B391" s="38" t="e">
        <f t="shared" ca="1" si="87"/>
        <v>#N/A</v>
      </c>
      <c r="C391" s="77" t="e">
        <f t="shared" ca="1" si="88"/>
        <v>#N/A</v>
      </c>
      <c r="D391" s="78" t="e">
        <f ca="1">+IF(AND(B391&lt;$G$7),VLOOKUP($B$1,Inventory!$A$1:$BC$500,35,FALSE),IF(AND(B391=$G$7,pmt_timing="End"),VLOOKUP($B$1,Inventory!$A$1:$BC$500,35,FALSE),0))</f>
        <v>#N/A</v>
      </c>
      <c r="E391" s="78">
        <v>0</v>
      </c>
      <c r="F391" s="78">
        <v>0</v>
      </c>
      <c r="G391" s="78">
        <v>0</v>
      </c>
      <c r="H391" s="78">
        <v>0</v>
      </c>
      <c r="I391" s="78">
        <v>0</v>
      </c>
      <c r="J391" s="78">
        <v>0</v>
      </c>
      <c r="K391" s="78">
        <v>0</v>
      </c>
      <c r="L391" s="36" t="e">
        <f t="shared" ca="1" si="82"/>
        <v>#N/A</v>
      </c>
      <c r="M391" s="37" t="e">
        <f t="shared" ca="1" si="79"/>
        <v>#N/A</v>
      </c>
      <c r="N391" s="37" t="e">
        <f t="shared" ca="1" si="81"/>
        <v>#N/A</v>
      </c>
      <c r="P391" s="35" t="e">
        <f t="shared" ca="1" si="89"/>
        <v>#N/A</v>
      </c>
      <c r="Q391" s="59" t="e">
        <f t="shared" ca="1" si="83"/>
        <v>#N/A</v>
      </c>
      <c r="R391" s="44" t="e">
        <f t="shared" ca="1" si="84"/>
        <v>#N/A</v>
      </c>
      <c r="S391" s="37" t="e">
        <f ca="1">IF(P391="","",IF(P391="Total",SUM($S$19:S390),VLOOKUP($P391,$B$12:$L445,11,FALSE)))</f>
        <v>#N/A</v>
      </c>
      <c r="T391" s="44" t="e">
        <f ca="1">IF(payfreq="Annually",IF(P391="","",IF(P391="Total",SUM($T$19:T390),Adj_Rate*$R391)),IF(payfreq="Semiannually",IF(P391="","",IF(P391="Total",SUM($T$19:T390),Adj_Rate/2*$R391)),IF(payfreq="Quarterly",IF(P391="","",IF(P391="Total",SUM($T$19:T390),Adj_Rate/4*$R391)),IF(payfreq="Monthly",IF(P391="","",IF(P391="Total",SUM($T$19:T390),Adj_Rate/12*$R391)),""))))</f>
        <v>#N/A</v>
      </c>
      <c r="U391" s="37" t="e">
        <f t="shared" ca="1" si="85"/>
        <v>#N/A</v>
      </c>
      <c r="V391" s="44" t="e">
        <f t="shared" ca="1" si="86"/>
        <v>#N/A</v>
      </c>
    </row>
    <row r="392" spans="2:22">
      <c r="B392" s="38" t="e">
        <f t="shared" ca="1" si="87"/>
        <v>#N/A</v>
      </c>
      <c r="C392" s="77" t="e">
        <f t="shared" ca="1" si="88"/>
        <v>#N/A</v>
      </c>
      <c r="D392" s="78" t="e">
        <f ca="1">+IF(AND(B392&lt;$G$7),VLOOKUP($B$1,Inventory!$A$1:$BC$500,35,FALSE),IF(AND(B392=$G$7,pmt_timing="End"),VLOOKUP($B$1,Inventory!$A$1:$BC$500,35,FALSE),0))</f>
        <v>#N/A</v>
      </c>
      <c r="E392" s="78">
        <v>0</v>
      </c>
      <c r="F392" s="78">
        <v>0</v>
      </c>
      <c r="G392" s="78">
        <v>0</v>
      </c>
      <c r="H392" s="78">
        <v>0</v>
      </c>
      <c r="I392" s="78">
        <v>0</v>
      </c>
      <c r="J392" s="78">
        <v>0</v>
      </c>
      <c r="K392" s="78">
        <v>0</v>
      </c>
      <c r="L392" s="36" t="e">
        <f t="shared" ca="1" si="82"/>
        <v>#N/A</v>
      </c>
      <c r="M392" s="37" t="e">
        <f t="shared" ca="1" si="79"/>
        <v>#N/A</v>
      </c>
      <c r="N392" s="37" t="e">
        <f t="shared" ca="1" si="81"/>
        <v>#N/A</v>
      </c>
      <c r="P392" s="35" t="e">
        <f t="shared" ca="1" si="89"/>
        <v>#N/A</v>
      </c>
      <c r="Q392" s="59" t="e">
        <f t="shared" ca="1" si="83"/>
        <v>#N/A</v>
      </c>
      <c r="R392" s="44" t="e">
        <f t="shared" ca="1" si="84"/>
        <v>#N/A</v>
      </c>
      <c r="S392" s="37" t="e">
        <f ca="1">IF(P392="","",IF(P392="Total",SUM($S$19:S391),VLOOKUP($P392,$B$12:$L446,11,FALSE)))</f>
        <v>#N/A</v>
      </c>
      <c r="T392" s="44" t="e">
        <f ca="1">IF(payfreq="Annually",IF(P392="","",IF(P392="Total",SUM($T$19:T391),Adj_Rate*$R392)),IF(payfreq="Semiannually",IF(P392="","",IF(P392="Total",SUM($T$19:T391),Adj_Rate/2*$R392)),IF(payfreq="Quarterly",IF(P392="","",IF(P392="Total",SUM($T$19:T391),Adj_Rate/4*$R392)),IF(payfreq="Monthly",IF(P392="","",IF(P392="Total",SUM($T$19:T391),Adj_Rate/12*$R392)),""))))</f>
        <v>#N/A</v>
      </c>
      <c r="U392" s="37" t="e">
        <f t="shared" ca="1" si="85"/>
        <v>#N/A</v>
      </c>
      <c r="V392" s="44" t="e">
        <f t="shared" ca="1" si="86"/>
        <v>#N/A</v>
      </c>
    </row>
    <row r="393" spans="2:22">
      <c r="B393" s="38" t="e">
        <f t="shared" ca="1" si="87"/>
        <v>#N/A</v>
      </c>
      <c r="C393" s="77" t="e">
        <f t="shared" ca="1" si="88"/>
        <v>#N/A</v>
      </c>
      <c r="D393" s="78" t="e">
        <f ca="1">+IF(AND(B393&lt;$G$7),VLOOKUP($B$1,Inventory!$A$1:$BC$500,35,FALSE),IF(AND(B393=$G$7,pmt_timing="End"),VLOOKUP($B$1,Inventory!$A$1:$BC$500,35,FALSE),0))</f>
        <v>#N/A</v>
      </c>
      <c r="E393" s="78">
        <v>0</v>
      </c>
      <c r="F393" s="78">
        <v>0</v>
      </c>
      <c r="G393" s="78">
        <v>0</v>
      </c>
      <c r="H393" s="78">
        <v>0</v>
      </c>
      <c r="I393" s="78">
        <v>0</v>
      </c>
      <c r="J393" s="78">
        <v>0</v>
      </c>
      <c r="K393" s="78">
        <v>0</v>
      </c>
      <c r="L393" s="36" t="e">
        <f t="shared" ca="1" si="82"/>
        <v>#N/A</v>
      </c>
      <c r="M393" s="37" t="e">
        <f t="shared" ca="1" si="79"/>
        <v>#N/A</v>
      </c>
      <c r="N393" s="37" t="e">
        <f t="shared" ca="1" si="81"/>
        <v>#N/A</v>
      </c>
      <c r="P393" s="35" t="e">
        <f t="shared" ca="1" si="89"/>
        <v>#N/A</v>
      </c>
      <c r="Q393" s="59" t="e">
        <f t="shared" ca="1" si="83"/>
        <v>#N/A</v>
      </c>
      <c r="R393" s="44" t="e">
        <f t="shared" ca="1" si="84"/>
        <v>#N/A</v>
      </c>
      <c r="S393" s="37" t="e">
        <f ca="1">IF(P393="","",IF(P393="Total",SUM($S$19:S392),VLOOKUP($P393,$B$12:$L447,11,FALSE)))</f>
        <v>#N/A</v>
      </c>
      <c r="T393" s="44" t="e">
        <f ca="1">IF(payfreq="Annually",IF(P393="","",IF(P393="Total",SUM($T$19:T392),Adj_Rate*$R393)),IF(payfreq="Semiannually",IF(P393="","",IF(P393="Total",SUM($T$19:T392),Adj_Rate/2*$R393)),IF(payfreq="Quarterly",IF(P393="","",IF(P393="Total",SUM($T$19:T392),Adj_Rate/4*$R393)),IF(payfreq="Monthly",IF(P393="","",IF(P393="Total",SUM($T$19:T392),Adj_Rate/12*$R393)),""))))</f>
        <v>#N/A</v>
      </c>
      <c r="U393" s="37" t="e">
        <f t="shared" ca="1" si="85"/>
        <v>#N/A</v>
      </c>
      <c r="V393" s="44" t="e">
        <f t="shared" ca="1" si="86"/>
        <v>#N/A</v>
      </c>
    </row>
    <row r="394" spans="2:22">
      <c r="B394" s="38" t="e">
        <f t="shared" ca="1" si="87"/>
        <v>#N/A</v>
      </c>
      <c r="C394" s="77" t="e">
        <f t="shared" ca="1" si="88"/>
        <v>#N/A</v>
      </c>
      <c r="D394" s="78" t="e">
        <f ca="1">+IF(AND(B394&lt;$G$7),VLOOKUP($B$1,Inventory!$A$1:$BC$500,35,FALSE),IF(AND(B394=$G$7,pmt_timing="End"),VLOOKUP($B$1,Inventory!$A$1:$BC$500,35,FALSE),0))</f>
        <v>#N/A</v>
      </c>
      <c r="E394" s="78">
        <v>0</v>
      </c>
      <c r="F394" s="78">
        <v>0</v>
      </c>
      <c r="G394" s="78">
        <v>0</v>
      </c>
      <c r="H394" s="78">
        <v>0</v>
      </c>
      <c r="I394" s="78">
        <v>0</v>
      </c>
      <c r="J394" s="78">
        <v>0</v>
      </c>
      <c r="K394" s="78">
        <v>0</v>
      </c>
      <c r="L394" s="36" t="e">
        <f t="shared" ca="1" si="82"/>
        <v>#N/A</v>
      </c>
      <c r="M394" s="37" t="e">
        <f t="shared" ca="1" si="79"/>
        <v>#N/A</v>
      </c>
      <c r="N394" s="37" t="e">
        <f t="shared" ca="1" si="81"/>
        <v>#N/A</v>
      </c>
      <c r="P394" s="35" t="e">
        <f t="shared" ca="1" si="89"/>
        <v>#N/A</v>
      </c>
      <c r="Q394" s="59" t="e">
        <f t="shared" ca="1" si="83"/>
        <v>#N/A</v>
      </c>
      <c r="R394" s="44" t="e">
        <f t="shared" ca="1" si="84"/>
        <v>#N/A</v>
      </c>
      <c r="S394" s="37" t="e">
        <f ca="1">IF(P394="","",IF(P394="Total",SUM($S$19:S393),VLOOKUP($P394,$B$12:$L448,11,FALSE)))</f>
        <v>#N/A</v>
      </c>
      <c r="T394" s="44" t="e">
        <f ca="1">IF(payfreq="Annually",IF(P394="","",IF(P394="Total",SUM($T$19:T393),Adj_Rate*$R394)),IF(payfreq="Semiannually",IF(P394="","",IF(P394="Total",SUM($T$19:T393),Adj_Rate/2*$R394)),IF(payfreq="Quarterly",IF(P394="","",IF(P394="Total",SUM($T$19:T393),Adj_Rate/4*$R394)),IF(payfreq="Monthly",IF(P394="","",IF(P394="Total",SUM($T$19:T393),Adj_Rate/12*$R394)),""))))</f>
        <v>#N/A</v>
      </c>
      <c r="U394" s="37" t="e">
        <f t="shared" ca="1" si="85"/>
        <v>#N/A</v>
      </c>
      <c r="V394" s="44" t="e">
        <f t="shared" ca="1" si="86"/>
        <v>#N/A</v>
      </c>
    </row>
    <row r="395" spans="2:22">
      <c r="B395" s="38" t="e">
        <f t="shared" ca="1" si="87"/>
        <v>#N/A</v>
      </c>
      <c r="C395" s="77" t="e">
        <f t="shared" ca="1" si="88"/>
        <v>#N/A</v>
      </c>
      <c r="D395" s="78" t="e">
        <f ca="1">+IF(AND(B395&lt;$G$7),VLOOKUP($B$1,Inventory!$A$1:$BC$500,35,FALSE),IF(AND(B395=$G$7,pmt_timing="End"),VLOOKUP($B$1,Inventory!$A$1:$BC$500,35,FALSE),0))</f>
        <v>#N/A</v>
      </c>
      <c r="E395" s="78">
        <v>0</v>
      </c>
      <c r="F395" s="78">
        <v>0</v>
      </c>
      <c r="G395" s="78">
        <v>0</v>
      </c>
      <c r="H395" s="78">
        <v>0</v>
      </c>
      <c r="I395" s="78">
        <v>0</v>
      </c>
      <c r="J395" s="78">
        <v>0</v>
      </c>
      <c r="K395" s="78">
        <v>0</v>
      </c>
      <c r="L395" s="36" t="e">
        <f t="shared" ca="1" si="82"/>
        <v>#N/A</v>
      </c>
      <c r="M395" s="37" t="e">
        <f t="shared" ca="1" si="79"/>
        <v>#N/A</v>
      </c>
      <c r="N395" s="37" t="e">
        <f t="shared" ca="1" si="81"/>
        <v>#N/A</v>
      </c>
      <c r="P395" s="35" t="e">
        <f t="shared" ca="1" si="89"/>
        <v>#N/A</v>
      </c>
      <c r="Q395" s="59" t="e">
        <f t="shared" ca="1" si="83"/>
        <v>#N/A</v>
      </c>
      <c r="R395" s="44" t="e">
        <f t="shared" ca="1" si="84"/>
        <v>#N/A</v>
      </c>
      <c r="S395" s="37" t="e">
        <f ca="1">IF(P395="","",IF(P395="Total",SUM($S$19:S394),VLOOKUP($P395,$B$12:$L449,11,FALSE)))</f>
        <v>#N/A</v>
      </c>
      <c r="T395" s="44" t="e">
        <f ca="1">IF(payfreq="Annually",IF(P395="","",IF(P395="Total",SUM($T$19:T394),Adj_Rate*$R395)),IF(payfreq="Semiannually",IF(P395="","",IF(P395="Total",SUM($T$19:T394),Adj_Rate/2*$R395)),IF(payfreq="Quarterly",IF(P395="","",IF(P395="Total",SUM($T$19:T394),Adj_Rate/4*$R395)),IF(payfreq="Monthly",IF(P395="","",IF(P395="Total",SUM($T$19:T394),Adj_Rate/12*$R395)),""))))</f>
        <v>#N/A</v>
      </c>
      <c r="U395" s="37" t="e">
        <f t="shared" ca="1" si="85"/>
        <v>#N/A</v>
      </c>
      <c r="V395" s="44" t="e">
        <f t="shared" ca="1" si="86"/>
        <v>#N/A</v>
      </c>
    </row>
    <row r="396" spans="2:22">
      <c r="B396" s="38" t="e">
        <f t="shared" ca="1" si="87"/>
        <v>#N/A</v>
      </c>
      <c r="C396" s="77" t="e">
        <f t="shared" ca="1" si="88"/>
        <v>#N/A</v>
      </c>
      <c r="D396" s="78" t="e">
        <f ca="1">+IF(AND(B396&lt;$G$7),VLOOKUP($B$1,Inventory!$A$1:$BC$500,35,FALSE),IF(AND(B396=$G$7,pmt_timing="End"),VLOOKUP($B$1,Inventory!$A$1:$BC$500,35,FALSE),0))</f>
        <v>#N/A</v>
      </c>
      <c r="E396" s="78">
        <v>0</v>
      </c>
      <c r="F396" s="78">
        <v>0</v>
      </c>
      <c r="G396" s="78">
        <v>0</v>
      </c>
      <c r="H396" s="78">
        <v>0</v>
      </c>
      <c r="I396" s="78">
        <v>0</v>
      </c>
      <c r="J396" s="78">
        <v>0</v>
      </c>
      <c r="K396" s="78">
        <v>0</v>
      </c>
      <c r="L396" s="36" t="e">
        <f t="shared" ca="1" si="82"/>
        <v>#N/A</v>
      </c>
      <c r="M396" s="37" t="e">
        <f t="shared" ca="1" si="79"/>
        <v>#N/A</v>
      </c>
      <c r="N396" s="37" t="e">
        <f t="shared" ca="1" si="81"/>
        <v>#N/A</v>
      </c>
      <c r="P396" s="35" t="e">
        <f t="shared" ca="1" si="89"/>
        <v>#N/A</v>
      </c>
      <c r="Q396" s="59" t="e">
        <f t="shared" ca="1" si="83"/>
        <v>#N/A</v>
      </c>
      <c r="R396" s="44" t="e">
        <f t="shared" ca="1" si="84"/>
        <v>#N/A</v>
      </c>
      <c r="S396" s="37" t="e">
        <f ca="1">IF(P396="","",IF(P396="Total",SUM($S$19:S395),VLOOKUP($P396,$B$12:$L450,11,FALSE)))</f>
        <v>#N/A</v>
      </c>
      <c r="T396" s="44" t="e">
        <f ca="1">IF(payfreq="Annually",IF(P396="","",IF(P396="Total",SUM($T$19:T395),Adj_Rate*$R396)),IF(payfreq="Semiannually",IF(P396="","",IF(P396="Total",SUM($T$19:T395),Adj_Rate/2*$R396)),IF(payfreq="Quarterly",IF(P396="","",IF(P396="Total",SUM($T$19:T395),Adj_Rate/4*$R396)),IF(payfreq="Monthly",IF(P396="","",IF(P396="Total",SUM($T$19:T395),Adj_Rate/12*$R396)),""))))</f>
        <v>#N/A</v>
      </c>
      <c r="U396" s="37" t="e">
        <f t="shared" ca="1" si="85"/>
        <v>#N/A</v>
      </c>
      <c r="V396" s="44" t="e">
        <f t="shared" ca="1" si="86"/>
        <v>#N/A</v>
      </c>
    </row>
    <row r="397" spans="2:22">
      <c r="B397" s="38" t="e">
        <f t="shared" ca="1" si="87"/>
        <v>#N/A</v>
      </c>
      <c r="C397" s="77" t="e">
        <f t="shared" ca="1" si="88"/>
        <v>#N/A</v>
      </c>
      <c r="D397" s="78" t="e">
        <f ca="1">+IF(AND(B397&lt;$G$7),VLOOKUP($B$1,Inventory!$A$1:$BC$500,35,FALSE),IF(AND(B397=$G$7,pmt_timing="End"),VLOOKUP($B$1,Inventory!$A$1:$BC$500,35,FALSE),0))</f>
        <v>#N/A</v>
      </c>
      <c r="E397" s="78">
        <v>0</v>
      </c>
      <c r="F397" s="78">
        <v>0</v>
      </c>
      <c r="G397" s="78">
        <v>0</v>
      </c>
      <c r="H397" s="78">
        <v>0</v>
      </c>
      <c r="I397" s="78">
        <v>0</v>
      </c>
      <c r="J397" s="78">
        <v>0</v>
      </c>
      <c r="K397" s="78">
        <v>0</v>
      </c>
      <c r="L397" s="36" t="e">
        <f t="shared" ca="1" si="82"/>
        <v>#N/A</v>
      </c>
      <c r="M397" s="37" t="e">
        <f t="shared" ca="1" si="79"/>
        <v>#N/A</v>
      </c>
      <c r="N397" s="37" t="e">
        <f t="shared" ca="1" si="81"/>
        <v>#N/A</v>
      </c>
      <c r="P397" s="35" t="e">
        <f t="shared" ca="1" si="89"/>
        <v>#N/A</v>
      </c>
      <c r="Q397" s="59" t="e">
        <f t="shared" ca="1" si="83"/>
        <v>#N/A</v>
      </c>
      <c r="R397" s="44" t="e">
        <f t="shared" ca="1" si="84"/>
        <v>#N/A</v>
      </c>
      <c r="S397" s="37" t="e">
        <f ca="1">IF(P397="","",IF(P397="Total",SUM($S$19:S396),VLOOKUP($P397,$B$12:$L451,11,FALSE)))</f>
        <v>#N/A</v>
      </c>
      <c r="T397" s="44" t="e">
        <f ca="1">IF(payfreq="Annually",IF(P397="","",IF(P397="Total",SUM($T$19:T396),Adj_Rate*$R397)),IF(payfreq="Semiannually",IF(P397="","",IF(P397="Total",SUM($T$19:T396),Adj_Rate/2*$R397)),IF(payfreq="Quarterly",IF(P397="","",IF(P397="Total",SUM($T$19:T396),Adj_Rate/4*$R397)),IF(payfreq="Monthly",IF(P397="","",IF(P397="Total",SUM($T$19:T396),Adj_Rate/12*$R397)),""))))</f>
        <v>#N/A</v>
      </c>
      <c r="U397" s="37" t="e">
        <f t="shared" ca="1" si="85"/>
        <v>#N/A</v>
      </c>
      <c r="V397" s="44" t="e">
        <f t="shared" ca="1" si="86"/>
        <v>#N/A</v>
      </c>
    </row>
    <row r="398" spans="2:22">
      <c r="B398" s="38" t="e">
        <f t="shared" ca="1" si="87"/>
        <v>#N/A</v>
      </c>
      <c r="C398" s="77" t="e">
        <f t="shared" ca="1" si="88"/>
        <v>#N/A</v>
      </c>
      <c r="D398" s="78" t="e">
        <f ca="1">+IF(AND(B398&lt;$G$7),VLOOKUP($B$1,Inventory!$A$1:$BC$500,35,FALSE),IF(AND(B398=$G$7,pmt_timing="End"),VLOOKUP($B$1,Inventory!$A$1:$BC$500,35,FALSE),0))</f>
        <v>#N/A</v>
      </c>
      <c r="E398" s="78">
        <v>0</v>
      </c>
      <c r="F398" s="78">
        <v>0</v>
      </c>
      <c r="G398" s="78">
        <v>0</v>
      </c>
      <c r="H398" s="78">
        <v>0</v>
      </c>
      <c r="I398" s="78">
        <v>0</v>
      </c>
      <c r="J398" s="78">
        <v>0</v>
      </c>
      <c r="K398" s="78">
        <v>0</v>
      </c>
      <c r="L398" s="36" t="e">
        <f t="shared" ca="1" si="82"/>
        <v>#N/A</v>
      </c>
      <c r="M398" s="37" t="e">
        <f t="shared" ca="1" si="79"/>
        <v>#N/A</v>
      </c>
      <c r="N398" s="37" t="e">
        <f t="shared" ca="1" si="81"/>
        <v>#N/A</v>
      </c>
      <c r="P398" s="35" t="e">
        <f t="shared" ca="1" si="89"/>
        <v>#N/A</v>
      </c>
      <c r="Q398" s="59" t="e">
        <f t="shared" ca="1" si="83"/>
        <v>#N/A</v>
      </c>
      <c r="R398" s="44" t="e">
        <f t="shared" ca="1" si="84"/>
        <v>#N/A</v>
      </c>
      <c r="S398" s="37" t="e">
        <f ca="1">IF(P398="","",IF(P398="Total",SUM($S$19:S397),VLOOKUP($P398,$B$12:$L452,11,FALSE)))</f>
        <v>#N/A</v>
      </c>
      <c r="T398" s="44" t="e">
        <f ca="1">IF(payfreq="Annually",IF(P398="","",IF(P398="Total",SUM($T$19:T397),Adj_Rate*$R398)),IF(payfreq="Semiannually",IF(P398="","",IF(P398="Total",SUM($T$19:T397),Adj_Rate/2*$R398)),IF(payfreq="Quarterly",IF(P398="","",IF(P398="Total",SUM($T$19:T397),Adj_Rate/4*$R398)),IF(payfreq="Monthly",IF(P398="","",IF(P398="Total",SUM($T$19:T397),Adj_Rate/12*$R398)),""))))</f>
        <v>#N/A</v>
      </c>
      <c r="U398" s="37" t="e">
        <f t="shared" ca="1" si="85"/>
        <v>#N/A</v>
      </c>
      <c r="V398" s="44" t="e">
        <f t="shared" ca="1" si="86"/>
        <v>#N/A</v>
      </c>
    </row>
    <row r="399" spans="2:22">
      <c r="B399" s="38" t="e">
        <f t="shared" ca="1" si="87"/>
        <v>#N/A</v>
      </c>
      <c r="C399" s="77" t="e">
        <f t="shared" ca="1" si="88"/>
        <v>#N/A</v>
      </c>
      <c r="D399" s="78" t="e">
        <f ca="1">+IF(AND(B399&lt;$G$7),VLOOKUP($B$1,Inventory!$A$1:$BC$500,35,FALSE),IF(AND(B399=$G$7,pmt_timing="End"),VLOOKUP($B$1,Inventory!$A$1:$BC$500,35,FALSE),0))</f>
        <v>#N/A</v>
      </c>
      <c r="E399" s="78">
        <v>0</v>
      </c>
      <c r="F399" s="78">
        <v>0</v>
      </c>
      <c r="G399" s="78">
        <v>0</v>
      </c>
      <c r="H399" s="78">
        <v>0</v>
      </c>
      <c r="I399" s="78">
        <v>0</v>
      </c>
      <c r="J399" s="78">
        <v>0</v>
      </c>
      <c r="K399" s="78">
        <v>0</v>
      </c>
      <c r="L399" s="36" t="e">
        <f t="shared" ca="1" si="82"/>
        <v>#N/A</v>
      </c>
      <c r="M399" s="37" t="e">
        <f t="shared" ca="1" si="79"/>
        <v>#N/A</v>
      </c>
      <c r="N399" s="37" t="e">
        <f t="shared" ca="1" si="81"/>
        <v>#N/A</v>
      </c>
      <c r="P399" s="35" t="e">
        <f t="shared" ca="1" si="89"/>
        <v>#N/A</v>
      </c>
      <c r="Q399" s="59" t="e">
        <f t="shared" ca="1" si="83"/>
        <v>#N/A</v>
      </c>
      <c r="R399" s="44" t="e">
        <f t="shared" ca="1" si="84"/>
        <v>#N/A</v>
      </c>
      <c r="S399" s="37" t="e">
        <f ca="1">IF(P399="","",IF(P399="Total",SUM($S$19:S398),VLOOKUP($P399,$B$12:$L453,11,FALSE)))</f>
        <v>#N/A</v>
      </c>
      <c r="T399" s="44" t="e">
        <f ca="1">IF(payfreq="Annually",IF(P399="","",IF(P399="Total",SUM($T$19:T398),Adj_Rate*$R399)),IF(payfreq="Semiannually",IF(P399="","",IF(P399="Total",SUM($T$19:T398),Adj_Rate/2*$R399)),IF(payfreq="Quarterly",IF(P399="","",IF(P399="Total",SUM($T$19:T398),Adj_Rate/4*$R399)),IF(payfreq="Monthly",IF(P399="","",IF(P399="Total",SUM($T$19:T398),Adj_Rate/12*$R399)),""))))</f>
        <v>#N/A</v>
      </c>
      <c r="U399" s="37" t="e">
        <f t="shared" ca="1" si="85"/>
        <v>#N/A</v>
      </c>
      <c r="V399" s="44" t="e">
        <f t="shared" ca="1" si="86"/>
        <v>#N/A</v>
      </c>
    </row>
    <row r="400" spans="2:22">
      <c r="B400" s="38" t="e">
        <f t="shared" ca="1" si="87"/>
        <v>#N/A</v>
      </c>
      <c r="C400" s="77" t="e">
        <f t="shared" ca="1" si="88"/>
        <v>#N/A</v>
      </c>
      <c r="D400" s="78" t="e">
        <f ca="1">+IF(AND(B400&lt;$G$7),VLOOKUP($B$1,Inventory!$A$1:$BC$500,35,FALSE),IF(AND(B400=$G$7,pmt_timing="End"),VLOOKUP($B$1,Inventory!$A$1:$BC$500,35,FALSE),0))</f>
        <v>#N/A</v>
      </c>
      <c r="E400" s="78">
        <v>0</v>
      </c>
      <c r="F400" s="78">
        <v>0</v>
      </c>
      <c r="G400" s="78">
        <v>0</v>
      </c>
      <c r="H400" s="78">
        <v>0</v>
      </c>
      <c r="I400" s="78">
        <v>0</v>
      </c>
      <c r="J400" s="78">
        <v>0</v>
      </c>
      <c r="K400" s="78">
        <v>0</v>
      </c>
      <c r="L400" s="36" t="e">
        <f t="shared" ca="1" si="82"/>
        <v>#N/A</v>
      </c>
      <c r="M400" s="37" t="e">
        <f t="shared" ca="1" si="79"/>
        <v>#N/A</v>
      </c>
      <c r="N400" s="37" t="e">
        <f t="shared" ca="1" si="81"/>
        <v>#N/A</v>
      </c>
      <c r="P400" s="35" t="e">
        <f t="shared" ca="1" si="89"/>
        <v>#N/A</v>
      </c>
      <c r="Q400" s="59" t="e">
        <f t="shared" ca="1" si="83"/>
        <v>#N/A</v>
      </c>
      <c r="R400" s="44" t="e">
        <f t="shared" ca="1" si="84"/>
        <v>#N/A</v>
      </c>
      <c r="S400" s="37" t="e">
        <f ca="1">IF(P400="","",IF(P400="Total",SUM($S$19:S399),VLOOKUP($P400,$B$12:$L454,11,FALSE)))</f>
        <v>#N/A</v>
      </c>
      <c r="T400" s="44" t="e">
        <f ca="1">IF(payfreq="Annually",IF(P400="","",IF(P400="Total",SUM($T$19:T399),Adj_Rate*$R400)),IF(payfreq="Semiannually",IF(P400="","",IF(P400="Total",SUM($T$19:T399),Adj_Rate/2*$R400)),IF(payfreq="Quarterly",IF(P400="","",IF(P400="Total",SUM($T$19:T399),Adj_Rate/4*$R400)),IF(payfreq="Monthly",IF(P400="","",IF(P400="Total",SUM($T$19:T399),Adj_Rate/12*$R400)),""))))</f>
        <v>#N/A</v>
      </c>
      <c r="U400" s="37" t="e">
        <f t="shared" ca="1" si="85"/>
        <v>#N/A</v>
      </c>
      <c r="V400" s="44" t="e">
        <f t="shared" ca="1" si="86"/>
        <v>#N/A</v>
      </c>
    </row>
    <row r="401" spans="2:22">
      <c r="B401" s="38" t="e">
        <f t="shared" ca="1" si="87"/>
        <v>#N/A</v>
      </c>
      <c r="C401" s="77" t="e">
        <f t="shared" ca="1" si="88"/>
        <v>#N/A</v>
      </c>
      <c r="D401" s="78" t="e">
        <f ca="1">+IF(AND(B401&lt;$G$7),VLOOKUP($B$1,Inventory!$A$1:$BC$500,35,FALSE),IF(AND(B401=$G$7,pmt_timing="End"),VLOOKUP($B$1,Inventory!$A$1:$BC$500,35,FALSE),0))</f>
        <v>#N/A</v>
      </c>
      <c r="E401" s="78">
        <v>0</v>
      </c>
      <c r="F401" s="78">
        <v>0</v>
      </c>
      <c r="G401" s="78">
        <v>0</v>
      </c>
      <c r="H401" s="78">
        <v>0</v>
      </c>
      <c r="I401" s="78">
        <v>0</v>
      </c>
      <c r="J401" s="78">
        <v>0</v>
      </c>
      <c r="K401" s="78">
        <v>0</v>
      </c>
      <c r="L401" s="36" t="e">
        <f t="shared" ca="1" si="82"/>
        <v>#N/A</v>
      </c>
      <c r="M401" s="37" t="e">
        <f t="shared" ca="1" si="79"/>
        <v>#N/A</v>
      </c>
      <c r="N401" s="37" t="e">
        <f t="shared" ca="1" si="81"/>
        <v>#N/A</v>
      </c>
      <c r="P401" s="35" t="e">
        <f t="shared" ca="1" si="89"/>
        <v>#N/A</v>
      </c>
      <c r="Q401" s="59" t="e">
        <f t="shared" ca="1" si="83"/>
        <v>#N/A</v>
      </c>
      <c r="R401" s="44" t="e">
        <f t="shared" ca="1" si="84"/>
        <v>#N/A</v>
      </c>
      <c r="S401" s="37" t="e">
        <f ca="1">IF(P401="","",IF(P401="Total",SUM($S$19:S400),VLOOKUP($P401,$B$12:$L455,11,FALSE)))</f>
        <v>#N/A</v>
      </c>
      <c r="T401" s="44" t="e">
        <f ca="1">IF(payfreq="Annually",IF(P401="","",IF(P401="Total",SUM($T$19:T400),Adj_Rate*$R401)),IF(payfreq="Semiannually",IF(P401="","",IF(P401="Total",SUM($T$19:T400),Adj_Rate/2*$R401)),IF(payfreq="Quarterly",IF(P401="","",IF(P401="Total",SUM($T$19:T400),Adj_Rate/4*$R401)),IF(payfreq="Monthly",IF(P401="","",IF(P401="Total",SUM($T$19:T400),Adj_Rate/12*$R401)),""))))</f>
        <v>#N/A</v>
      </c>
      <c r="U401" s="37" t="e">
        <f t="shared" ca="1" si="85"/>
        <v>#N/A</v>
      </c>
      <c r="V401" s="44" t="e">
        <f t="shared" ca="1" si="86"/>
        <v>#N/A</v>
      </c>
    </row>
    <row r="402" spans="2:22">
      <c r="B402" s="38" t="e">
        <f t="shared" ca="1" si="87"/>
        <v>#N/A</v>
      </c>
      <c r="C402" s="77" t="e">
        <f t="shared" ca="1" si="88"/>
        <v>#N/A</v>
      </c>
      <c r="D402" s="78" t="e">
        <f ca="1">+IF(AND(B402&lt;$G$7),VLOOKUP($B$1,Inventory!$A$1:$BC$500,35,FALSE),IF(AND(B402=$G$7,pmt_timing="End"),VLOOKUP($B$1,Inventory!$A$1:$BC$500,35,FALSE),0))</f>
        <v>#N/A</v>
      </c>
      <c r="E402" s="78">
        <v>0</v>
      </c>
      <c r="F402" s="78">
        <v>0</v>
      </c>
      <c r="G402" s="78">
        <v>0</v>
      </c>
      <c r="H402" s="78">
        <v>0</v>
      </c>
      <c r="I402" s="78">
        <v>0</v>
      </c>
      <c r="J402" s="78">
        <v>0</v>
      </c>
      <c r="K402" s="78">
        <v>0</v>
      </c>
      <c r="L402" s="36" t="e">
        <f t="shared" ca="1" si="82"/>
        <v>#N/A</v>
      </c>
      <c r="M402" s="37" t="e">
        <f t="shared" ref="M402:M465" ca="1" si="90">IF(pmt_timing="End",IF($B402&gt;term, "",$L402/(1+Adj_Rate/12)^B402),"")</f>
        <v>#N/A</v>
      </c>
      <c r="N402" s="37" t="e">
        <f t="shared" ca="1" si="81"/>
        <v>#N/A</v>
      </c>
      <c r="P402" s="35" t="e">
        <f t="shared" ca="1" si="89"/>
        <v>#N/A</v>
      </c>
      <c r="Q402" s="59" t="e">
        <f t="shared" ca="1" si="83"/>
        <v>#N/A</v>
      </c>
      <c r="R402" s="44" t="e">
        <f t="shared" ca="1" si="84"/>
        <v>#N/A</v>
      </c>
      <c r="S402" s="37" t="e">
        <f ca="1">IF(P402="","",IF(P402="Total",SUM($S$19:S401),VLOOKUP($P402,$B$12:$L456,11,FALSE)))</f>
        <v>#N/A</v>
      </c>
      <c r="T402" s="44" t="e">
        <f ca="1">IF(payfreq="Annually",IF(P402="","",IF(P402="Total",SUM($T$19:T401),Adj_Rate*$R402)),IF(payfreq="Semiannually",IF(P402="","",IF(P402="Total",SUM($T$19:T401),Adj_Rate/2*$R402)),IF(payfreq="Quarterly",IF(P402="","",IF(P402="Total",SUM($T$19:T401),Adj_Rate/4*$R402)),IF(payfreq="Monthly",IF(P402="","",IF(P402="Total",SUM($T$19:T401),Adj_Rate/12*$R402)),""))))</f>
        <v>#N/A</v>
      </c>
      <c r="U402" s="37" t="e">
        <f t="shared" ca="1" si="85"/>
        <v>#N/A</v>
      </c>
      <c r="V402" s="44" t="e">
        <f t="shared" ca="1" si="86"/>
        <v>#N/A</v>
      </c>
    </row>
    <row r="403" spans="2:22">
      <c r="B403" s="38" t="e">
        <f t="shared" ca="1" si="87"/>
        <v>#N/A</v>
      </c>
      <c r="C403" s="77" t="e">
        <f t="shared" ca="1" si="88"/>
        <v>#N/A</v>
      </c>
      <c r="D403" s="78" t="e">
        <f ca="1">+IF(AND(B403&lt;$G$7),VLOOKUP($B$1,Inventory!$A$1:$BC$500,35,FALSE),IF(AND(B403=$G$7,pmt_timing="End"),VLOOKUP($B$1,Inventory!$A$1:$BC$500,35,FALSE),0))</f>
        <v>#N/A</v>
      </c>
      <c r="E403" s="78">
        <v>0</v>
      </c>
      <c r="F403" s="78">
        <v>0</v>
      </c>
      <c r="G403" s="78">
        <v>0</v>
      </c>
      <c r="H403" s="78">
        <v>0</v>
      </c>
      <c r="I403" s="78">
        <v>0</v>
      </c>
      <c r="J403" s="78">
        <v>0</v>
      </c>
      <c r="K403" s="78">
        <v>0</v>
      </c>
      <c r="L403" s="36" t="e">
        <f t="shared" ca="1" si="82"/>
        <v>#N/A</v>
      </c>
      <c r="M403" s="37" t="e">
        <f t="shared" ca="1" si="90"/>
        <v>#N/A</v>
      </c>
      <c r="N403" s="37" t="e">
        <f t="shared" ref="N403:N466" ca="1" si="91">IF(AND(payfreq="Annually",pmt_timing="Beginning",$B403&lt;=term),$L403/(1+Adj_Rate)^($B403),IF(AND(payfreq="Semiannually",pmt_timing="Beginning",$B403&lt;=term),$L403/(1+Adj_Rate/2)^($B403),IF(AND(payfreq="Quarterly",pmt_timing="Beginning",$B403&lt;=term),$L403/(1+Adj_Rate/4)^($B403),IF(AND(payfreq="Monthly",pmt_timing="Beginning",$B403&lt;=term),$L403/(1+Adj_Rate/12)^($B403),""))))</f>
        <v>#N/A</v>
      </c>
      <c r="P403" s="35" t="e">
        <f t="shared" ca="1" si="89"/>
        <v>#N/A</v>
      </c>
      <c r="Q403" s="59" t="e">
        <f t="shared" ca="1" si="83"/>
        <v>#N/A</v>
      </c>
      <c r="R403" s="44" t="e">
        <f t="shared" ca="1" si="84"/>
        <v>#N/A</v>
      </c>
      <c r="S403" s="37" t="e">
        <f ca="1">IF(P403="","",IF(P403="Total",SUM($S$19:S402),VLOOKUP($P403,$B$12:$L457,11,FALSE)))</f>
        <v>#N/A</v>
      </c>
      <c r="T403" s="44" t="e">
        <f ca="1">IF(payfreq="Annually",IF(P403="","",IF(P403="Total",SUM($T$19:T402),Adj_Rate*$R403)),IF(payfreq="Semiannually",IF(P403="","",IF(P403="Total",SUM($T$19:T402),Adj_Rate/2*$R403)),IF(payfreq="Quarterly",IF(P403="","",IF(P403="Total",SUM($T$19:T402),Adj_Rate/4*$R403)),IF(payfreq="Monthly",IF(P403="","",IF(P403="Total",SUM($T$19:T402),Adj_Rate/12*$R403)),""))))</f>
        <v>#N/A</v>
      </c>
      <c r="U403" s="37" t="e">
        <f t="shared" ca="1" si="85"/>
        <v>#N/A</v>
      </c>
      <c r="V403" s="44" t="e">
        <f t="shared" ca="1" si="86"/>
        <v>#N/A</v>
      </c>
    </row>
    <row r="404" spans="2:22">
      <c r="B404" s="38" t="e">
        <f t="shared" ca="1" si="87"/>
        <v>#N/A</v>
      </c>
      <c r="C404" s="77" t="e">
        <f t="shared" ca="1" si="88"/>
        <v>#N/A</v>
      </c>
      <c r="D404" s="78" t="e">
        <f ca="1">+IF(AND(B404&lt;$G$7),VLOOKUP($B$1,Inventory!$A$1:$BC$500,35,FALSE),IF(AND(B404=$G$7,pmt_timing="End"),VLOOKUP($B$1,Inventory!$A$1:$BC$500,35,FALSE),0))</f>
        <v>#N/A</v>
      </c>
      <c r="E404" s="78">
        <v>0</v>
      </c>
      <c r="F404" s="78">
        <v>0</v>
      </c>
      <c r="G404" s="78">
        <v>0</v>
      </c>
      <c r="H404" s="78">
        <v>0</v>
      </c>
      <c r="I404" s="78">
        <v>0</v>
      </c>
      <c r="J404" s="78">
        <v>0</v>
      </c>
      <c r="K404" s="78">
        <v>0</v>
      </c>
      <c r="L404" s="36" t="e">
        <f t="shared" ref="L404:L467" ca="1" si="92">SUM(D404:K404)</f>
        <v>#N/A</v>
      </c>
      <c r="M404" s="37" t="e">
        <f t="shared" ca="1" si="90"/>
        <v>#N/A</v>
      </c>
      <c r="N404" s="37" t="e">
        <f t="shared" ca="1" si="91"/>
        <v>#N/A</v>
      </c>
      <c r="P404" s="35" t="e">
        <f t="shared" ca="1" si="89"/>
        <v>#N/A</v>
      </c>
      <c r="Q404" s="59" t="e">
        <f t="shared" ref="Q404:Q467" ca="1" si="93">IF(P404="","",IF(P404="total","",IF(payfreq="Annually",DATE(YEAR(Q403)+1,MONTH(Q403),DAY(Q403)),IF(payfreq="Semiannually",DATE(YEAR(Q403),MONTH(Q403)+6,DAY(Q403)),IF(payfreq="Quarterly",DATE(YEAR(Q403),MONTH(Q403)+3,DAY(Q403)),IF(payfreq="Monthly",DATE(YEAR(Q403),MONTH(Q403)+1,DAY(Q403))))))))</f>
        <v>#N/A</v>
      </c>
      <c r="R404" s="44" t="e">
        <f t="shared" ref="R404:R467" ca="1" si="94">IF(OR(P404="",P404="Total"),"",V403)</f>
        <v>#N/A</v>
      </c>
      <c r="S404" s="37" t="e">
        <f ca="1">IF(P404="","",IF(P404="Total",SUM($S$19:S403),VLOOKUP($P404,$B$12:$L458,11,FALSE)))</f>
        <v>#N/A</v>
      </c>
      <c r="T404" s="44" t="e">
        <f ca="1">IF(payfreq="Annually",IF(P404="","",IF(P404="Total",SUM($T$19:T403),Adj_Rate*$R404)),IF(payfreq="Semiannually",IF(P404="","",IF(P404="Total",SUM($T$19:T403),Adj_Rate/2*$R404)),IF(payfreq="Quarterly",IF(P404="","",IF(P404="Total",SUM($T$19:T403),Adj_Rate/4*$R404)),IF(payfreq="Monthly",IF(P404="","",IF(P404="Total",SUM($T$19:T403),Adj_Rate/12*$R404)),""))))</f>
        <v>#N/A</v>
      </c>
      <c r="U404" s="37" t="e">
        <f t="shared" ref="U404:U467" ca="1" si="95">+IF(S404="","",S404-T404)</f>
        <v>#N/A</v>
      </c>
      <c r="V404" s="44" t="e">
        <f t="shared" ref="V404:V467" ca="1" si="96">IF(OR(P404="",P404="Total"),"",R404+T404-S404)</f>
        <v>#N/A</v>
      </c>
    </row>
    <row r="405" spans="2:22">
      <c r="B405" s="38" t="e">
        <f t="shared" ref="B405:B468" ca="1" si="97">IF(B404&lt;term,B404+1,"")</f>
        <v>#N/A</v>
      </c>
      <c r="C405" s="77" t="e">
        <f t="shared" ref="C405:C468" ca="1" si="98">IF(Q405 &lt;&gt; "",Q405, "")</f>
        <v>#N/A</v>
      </c>
      <c r="D405" s="78" t="e">
        <f ca="1">+IF(AND(B405&lt;$G$7),VLOOKUP($B$1,Inventory!$A$1:$BC$500,35,FALSE),IF(AND(B405=$G$7,pmt_timing="End"),VLOOKUP($B$1,Inventory!$A$1:$BC$500,35,FALSE),0))</f>
        <v>#N/A</v>
      </c>
      <c r="E405" s="78">
        <v>0</v>
      </c>
      <c r="F405" s="78">
        <v>0</v>
      </c>
      <c r="G405" s="78">
        <v>0</v>
      </c>
      <c r="H405" s="78">
        <v>0</v>
      </c>
      <c r="I405" s="78">
        <v>0</v>
      </c>
      <c r="J405" s="78">
        <v>0</v>
      </c>
      <c r="K405" s="78">
        <v>0</v>
      </c>
      <c r="L405" s="36" t="e">
        <f t="shared" ca="1" si="92"/>
        <v>#N/A</v>
      </c>
      <c r="M405" s="37" t="e">
        <f t="shared" ca="1" si="90"/>
        <v>#N/A</v>
      </c>
      <c r="N405" s="37" t="e">
        <f t="shared" ca="1" si="91"/>
        <v>#N/A</v>
      </c>
      <c r="P405" s="35" t="e">
        <f t="shared" ref="P405:P468" ca="1" si="99">IF(P404&lt;term,P404+1,IF(P404=term,"Total",""))</f>
        <v>#N/A</v>
      </c>
      <c r="Q405" s="59" t="e">
        <f t="shared" ca="1" si="93"/>
        <v>#N/A</v>
      </c>
      <c r="R405" s="44" t="e">
        <f t="shared" ca="1" si="94"/>
        <v>#N/A</v>
      </c>
      <c r="S405" s="37" t="e">
        <f ca="1">IF(P405="","",IF(P405="Total",SUM($S$19:S404),VLOOKUP($P405,$B$12:$L459,11,FALSE)))</f>
        <v>#N/A</v>
      </c>
      <c r="T405" s="44" t="e">
        <f ca="1">IF(payfreq="Annually",IF(P405="","",IF(P405="Total",SUM($T$19:T404),Adj_Rate*$R405)),IF(payfreq="Semiannually",IF(P405="","",IF(P405="Total",SUM($T$19:T404),Adj_Rate/2*$R405)),IF(payfreq="Quarterly",IF(P405="","",IF(P405="Total",SUM($T$19:T404),Adj_Rate/4*$R405)),IF(payfreq="Monthly",IF(P405="","",IF(P405="Total",SUM($T$19:T404),Adj_Rate/12*$R405)),""))))</f>
        <v>#N/A</v>
      </c>
      <c r="U405" s="37" t="e">
        <f t="shared" ca="1" si="95"/>
        <v>#N/A</v>
      </c>
      <c r="V405" s="44" t="e">
        <f t="shared" ca="1" si="96"/>
        <v>#N/A</v>
      </c>
    </row>
    <row r="406" spans="2:22">
      <c r="B406" s="38" t="e">
        <f t="shared" ca="1" si="97"/>
        <v>#N/A</v>
      </c>
      <c r="C406" s="77" t="e">
        <f t="shared" ca="1" si="98"/>
        <v>#N/A</v>
      </c>
      <c r="D406" s="78" t="e">
        <f ca="1">+IF(AND(B406&lt;$G$7),VLOOKUP($B$1,Inventory!$A$1:$BC$500,35,FALSE),IF(AND(B406=$G$7,pmt_timing="End"),VLOOKUP($B$1,Inventory!$A$1:$BC$500,35,FALSE),0))</f>
        <v>#N/A</v>
      </c>
      <c r="E406" s="78">
        <v>0</v>
      </c>
      <c r="F406" s="78">
        <v>0</v>
      </c>
      <c r="G406" s="78">
        <v>0</v>
      </c>
      <c r="H406" s="78">
        <v>0</v>
      </c>
      <c r="I406" s="78">
        <v>0</v>
      </c>
      <c r="J406" s="78">
        <v>0</v>
      </c>
      <c r="K406" s="78">
        <v>0</v>
      </c>
      <c r="L406" s="36" t="e">
        <f t="shared" ca="1" si="92"/>
        <v>#N/A</v>
      </c>
      <c r="M406" s="37" t="e">
        <f t="shared" ca="1" si="90"/>
        <v>#N/A</v>
      </c>
      <c r="N406" s="37" t="e">
        <f t="shared" ca="1" si="91"/>
        <v>#N/A</v>
      </c>
      <c r="P406" s="35" t="e">
        <f t="shared" ca="1" si="99"/>
        <v>#N/A</v>
      </c>
      <c r="Q406" s="59" t="e">
        <f t="shared" ca="1" si="93"/>
        <v>#N/A</v>
      </c>
      <c r="R406" s="44" t="e">
        <f t="shared" ca="1" si="94"/>
        <v>#N/A</v>
      </c>
      <c r="S406" s="37" t="e">
        <f ca="1">IF(P406="","",IF(P406="Total",SUM($S$19:S405),VLOOKUP($P406,$B$12:$L460,11,FALSE)))</f>
        <v>#N/A</v>
      </c>
      <c r="T406" s="44" t="e">
        <f ca="1">IF(payfreq="Annually",IF(P406="","",IF(P406="Total",SUM($T$19:T405),Adj_Rate*$R406)),IF(payfreq="Semiannually",IF(P406="","",IF(P406="Total",SUM($T$19:T405),Adj_Rate/2*$R406)),IF(payfreq="Quarterly",IF(P406="","",IF(P406="Total",SUM($T$19:T405),Adj_Rate/4*$R406)),IF(payfreq="Monthly",IF(P406="","",IF(P406="Total",SUM($T$19:T405),Adj_Rate/12*$R406)),""))))</f>
        <v>#N/A</v>
      </c>
      <c r="U406" s="37" t="e">
        <f t="shared" ca="1" si="95"/>
        <v>#N/A</v>
      </c>
      <c r="V406" s="44" t="e">
        <f t="shared" ca="1" si="96"/>
        <v>#N/A</v>
      </c>
    </row>
    <row r="407" spans="2:22">
      <c r="B407" s="38" t="e">
        <f t="shared" ca="1" si="97"/>
        <v>#N/A</v>
      </c>
      <c r="C407" s="77" t="e">
        <f t="shared" ca="1" si="98"/>
        <v>#N/A</v>
      </c>
      <c r="D407" s="78" t="e">
        <f ca="1">+IF(AND(B407&lt;$G$7),VLOOKUP($B$1,Inventory!$A$1:$BC$500,35,FALSE),IF(AND(B407=$G$7,pmt_timing="End"),VLOOKUP($B$1,Inventory!$A$1:$BC$500,35,FALSE),0))</f>
        <v>#N/A</v>
      </c>
      <c r="E407" s="78">
        <v>0</v>
      </c>
      <c r="F407" s="78">
        <v>0</v>
      </c>
      <c r="G407" s="78">
        <v>0</v>
      </c>
      <c r="H407" s="78">
        <v>0</v>
      </c>
      <c r="I407" s="78">
        <v>0</v>
      </c>
      <c r="J407" s="78">
        <v>0</v>
      </c>
      <c r="K407" s="78">
        <v>0</v>
      </c>
      <c r="L407" s="36" t="e">
        <f t="shared" ca="1" si="92"/>
        <v>#N/A</v>
      </c>
      <c r="M407" s="37" t="e">
        <f t="shared" ca="1" si="90"/>
        <v>#N/A</v>
      </c>
      <c r="N407" s="37" t="e">
        <f t="shared" ca="1" si="91"/>
        <v>#N/A</v>
      </c>
      <c r="P407" s="35" t="e">
        <f t="shared" ca="1" si="99"/>
        <v>#N/A</v>
      </c>
      <c r="Q407" s="59" t="e">
        <f t="shared" ca="1" si="93"/>
        <v>#N/A</v>
      </c>
      <c r="R407" s="44" t="e">
        <f t="shared" ca="1" si="94"/>
        <v>#N/A</v>
      </c>
      <c r="S407" s="37" t="e">
        <f ca="1">IF(P407="","",IF(P407="Total",SUM($S$19:S406),VLOOKUP($P407,$B$12:$L461,11,FALSE)))</f>
        <v>#N/A</v>
      </c>
      <c r="T407" s="44" t="e">
        <f ca="1">IF(payfreq="Annually",IF(P407="","",IF(P407="Total",SUM($T$19:T406),Adj_Rate*$R407)),IF(payfreq="Semiannually",IF(P407="","",IF(P407="Total",SUM($T$19:T406),Adj_Rate/2*$R407)),IF(payfreq="Quarterly",IF(P407="","",IF(P407="Total",SUM($T$19:T406),Adj_Rate/4*$R407)),IF(payfreq="Monthly",IF(P407="","",IF(P407="Total",SUM($T$19:T406),Adj_Rate/12*$R407)),""))))</f>
        <v>#N/A</v>
      </c>
      <c r="U407" s="37" t="e">
        <f t="shared" ca="1" si="95"/>
        <v>#N/A</v>
      </c>
      <c r="V407" s="44" t="e">
        <f t="shared" ca="1" si="96"/>
        <v>#N/A</v>
      </c>
    </row>
    <row r="408" spans="2:22">
      <c r="B408" s="38" t="e">
        <f t="shared" ca="1" si="97"/>
        <v>#N/A</v>
      </c>
      <c r="C408" s="77" t="e">
        <f t="shared" ca="1" si="98"/>
        <v>#N/A</v>
      </c>
      <c r="D408" s="78" t="e">
        <f ca="1">+IF(AND(B408&lt;$G$7),VLOOKUP($B$1,Inventory!$A$1:$BC$500,35,FALSE),IF(AND(B408=$G$7,pmt_timing="End"),VLOOKUP($B$1,Inventory!$A$1:$BC$500,35,FALSE),0))</f>
        <v>#N/A</v>
      </c>
      <c r="E408" s="78">
        <v>0</v>
      </c>
      <c r="F408" s="78">
        <v>0</v>
      </c>
      <c r="G408" s="78">
        <v>0</v>
      </c>
      <c r="H408" s="78">
        <v>0</v>
      </c>
      <c r="I408" s="78">
        <v>0</v>
      </c>
      <c r="J408" s="78">
        <v>0</v>
      </c>
      <c r="K408" s="78">
        <v>0</v>
      </c>
      <c r="L408" s="36" t="e">
        <f t="shared" ca="1" si="92"/>
        <v>#N/A</v>
      </c>
      <c r="M408" s="37" t="e">
        <f t="shared" ca="1" si="90"/>
        <v>#N/A</v>
      </c>
      <c r="N408" s="37" t="e">
        <f t="shared" ca="1" si="91"/>
        <v>#N/A</v>
      </c>
      <c r="P408" s="35" t="e">
        <f t="shared" ca="1" si="99"/>
        <v>#N/A</v>
      </c>
      <c r="Q408" s="59" t="e">
        <f t="shared" ca="1" si="93"/>
        <v>#N/A</v>
      </c>
      <c r="R408" s="44" t="e">
        <f t="shared" ca="1" si="94"/>
        <v>#N/A</v>
      </c>
      <c r="S408" s="37" t="e">
        <f ca="1">IF(P408="","",IF(P408="Total",SUM($S$19:S407),VLOOKUP($P408,$B$12:$L462,11,FALSE)))</f>
        <v>#N/A</v>
      </c>
      <c r="T408" s="44" t="e">
        <f ca="1">IF(payfreq="Annually",IF(P408="","",IF(P408="Total",SUM($T$19:T407),Adj_Rate*$R408)),IF(payfreq="Semiannually",IF(P408="","",IF(P408="Total",SUM($T$19:T407),Adj_Rate/2*$R408)),IF(payfreq="Quarterly",IF(P408="","",IF(P408="Total",SUM($T$19:T407),Adj_Rate/4*$R408)),IF(payfreq="Monthly",IF(P408="","",IF(P408="Total",SUM($T$19:T407),Adj_Rate/12*$R408)),""))))</f>
        <v>#N/A</v>
      </c>
      <c r="U408" s="37" t="e">
        <f t="shared" ca="1" si="95"/>
        <v>#N/A</v>
      </c>
      <c r="V408" s="44" t="e">
        <f t="shared" ca="1" si="96"/>
        <v>#N/A</v>
      </c>
    </row>
    <row r="409" spans="2:22">
      <c r="B409" s="38" t="e">
        <f t="shared" ca="1" si="97"/>
        <v>#N/A</v>
      </c>
      <c r="C409" s="77" t="e">
        <f t="shared" ca="1" si="98"/>
        <v>#N/A</v>
      </c>
      <c r="D409" s="78" t="e">
        <f ca="1">+IF(AND(B409&lt;$G$7),VLOOKUP($B$1,Inventory!$A$1:$BC$500,35,FALSE),IF(AND(B409=$G$7,pmt_timing="End"),VLOOKUP($B$1,Inventory!$A$1:$BC$500,35,FALSE),0))</f>
        <v>#N/A</v>
      </c>
      <c r="E409" s="78">
        <v>0</v>
      </c>
      <c r="F409" s="78">
        <v>0</v>
      </c>
      <c r="G409" s="78">
        <v>0</v>
      </c>
      <c r="H409" s="78">
        <v>0</v>
      </c>
      <c r="I409" s="78">
        <v>0</v>
      </c>
      <c r="J409" s="78">
        <v>0</v>
      </c>
      <c r="K409" s="78">
        <v>0</v>
      </c>
      <c r="L409" s="36" t="e">
        <f t="shared" ca="1" si="92"/>
        <v>#N/A</v>
      </c>
      <c r="M409" s="37" t="e">
        <f t="shared" ca="1" si="90"/>
        <v>#N/A</v>
      </c>
      <c r="N409" s="37" t="e">
        <f t="shared" ca="1" si="91"/>
        <v>#N/A</v>
      </c>
      <c r="P409" s="35" t="e">
        <f t="shared" ca="1" si="99"/>
        <v>#N/A</v>
      </c>
      <c r="Q409" s="59" t="e">
        <f t="shared" ca="1" si="93"/>
        <v>#N/A</v>
      </c>
      <c r="R409" s="44" t="e">
        <f t="shared" ca="1" si="94"/>
        <v>#N/A</v>
      </c>
      <c r="S409" s="37" t="e">
        <f ca="1">IF(P409="","",IF(P409="Total",SUM($S$19:S408),VLOOKUP($P409,$B$12:$L463,11,FALSE)))</f>
        <v>#N/A</v>
      </c>
      <c r="T409" s="44" t="e">
        <f ca="1">IF(payfreq="Annually",IF(P409="","",IF(P409="Total",SUM($T$19:T408),Adj_Rate*$R409)),IF(payfreq="Semiannually",IF(P409="","",IF(P409="Total",SUM($T$19:T408),Adj_Rate/2*$R409)),IF(payfreq="Quarterly",IF(P409="","",IF(P409="Total",SUM($T$19:T408),Adj_Rate/4*$R409)),IF(payfreq="Monthly",IF(P409="","",IF(P409="Total",SUM($T$19:T408),Adj_Rate/12*$R409)),""))))</f>
        <v>#N/A</v>
      </c>
      <c r="U409" s="37" t="e">
        <f t="shared" ca="1" si="95"/>
        <v>#N/A</v>
      </c>
      <c r="V409" s="44" t="e">
        <f t="shared" ca="1" si="96"/>
        <v>#N/A</v>
      </c>
    </row>
    <row r="410" spans="2:22">
      <c r="B410" s="38" t="e">
        <f t="shared" ca="1" si="97"/>
        <v>#N/A</v>
      </c>
      <c r="C410" s="77" t="e">
        <f t="shared" ca="1" si="98"/>
        <v>#N/A</v>
      </c>
      <c r="D410" s="78" t="e">
        <f ca="1">+IF(AND(B410&lt;$G$7),VLOOKUP($B$1,Inventory!$A$1:$BC$500,35,FALSE),IF(AND(B410=$G$7,pmt_timing="End"),VLOOKUP($B$1,Inventory!$A$1:$BC$500,35,FALSE),0))</f>
        <v>#N/A</v>
      </c>
      <c r="E410" s="78">
        <v>0</v>
      </c>
      <c r="F410" s="78">
        <v>0</v>
      </c>
      <c r="G410" s="78">
        <v>0</v>
      </c>
      <c r="H410" s="78">
        <v>0</v>
      </c>
      <c r="I410" s="78">
        <v>0</v>
      </c>
      <c r="J410" s="78">
        <v>0</v>
      </c>
      <c r="K410" s="78">
        <v>0</v>
      </c>
      <c r="L410" s="36" t="e">
        <f t="shared" ca="1" si="92"/>
        <v>#N/A</v>
      </c>
      <c r="M410" s="37" t="e">
        <f t="shared" ca="1" si="90"/>
        <v>#N/A</v>
      </c>
      <c r="N410" s="37" t="e">
        <f t="shared" ca="1" si="91"/>
        <v>#N/A</v>
      </c>
      <c r="P410" s="35" t="e">
        <f t="shared" ca="1" si="99"/>
        <v>#N/A</v>
      </c>
      <c r="Q410" s="59" t="e">
        <f t="shared" ca="1" si="93"/>
        <v>#N/A</v>
      </c>
      <c r="R410" s="44" t="e">
        <f t="shared" ca="1" si="94"/>
        <v>#N/A</v>
      </c>
      <c r="S410" s="37" t="e">
        <f ca="1">IF(P410="","",IF(P410="Total",SUM($S$19:S409),VLOOKUP($P410,$B$12:$L464,11,FALSE)))</f>
        <v>#N/A</v>
      </c>
      <c r="T410" s="44" t="e">
        <f ca="1">IF(payfreq="Annually",IF(P410="","",IF(P410="Total",SUM($T$19:T409),Adj_Rate*$R410)),IF(payfreq="Semiannually",IF(P410="","",IF(P410="Total",SUM($T$19:T409),Adj_Rate/2*$R410)),IF(payfreq="Quarterly",IF(P410="","",IF(P410="Total",SUM($T$19:T409),Adj_Rate/4*$R410)),IF(payfreq="Monthly",IF(P410="","",IF(P410="Total",SUM($T$19:T409),Adj_Rate/12*$R410)),""))))</f>
        <v>#N/A</v>
      </c>
      <c r="U410" s="37" t="e">
        <f t="shared" ca="1" si="95"/>
        <v>#N/A</v>
      </c>
      <c r="V410" s="44" t="e">
        <f t="shared" ca="1" si="96"/>
        <v>#N/A</v>
      </c>
    </row>
    <row r="411" spans="2:22">
      <c r="B411" s="38" t="e">
        <f t="shared" ca="1" si="97"/>
        <v>#N/A</v>
      </c>
      <c r="C411" s="77" t="e">
        <f t="shared" ca="1" si="98"/>
        <v>#N/A</v>
      </c>
      <c r="D411" s="78" t="e">
        <f ca="1">+IF(AND(B411&lt;$G$7),VLOOKUP($B$1,Inventory!$A$1:$BC$500,35,FALSE),IF(AND(B411=$G$7,pmt_timing="End"),VLOOKUP($B$1,Inventory!$A$1:$BC$500,35,FALSE),0))</f>
        <v>#N/A</v>
      </c>
      <c r="E411" s="78">
        <v>0</v>
      </c>
      <c r="F411" s="78">
        <v>0</v>
      </c>
      <c r="G411" s="78">
        <v>0</v>
      </c>
      <c r="H411" s="78">
        <v>0</v>
      </c>
      <c r="I411" s="78">
        <v>0</v>
      </c>
      <c r="J411" s="78">
        <v>0</v>
      </c>
      <c r="K411" s="78">
        <v>0</v>
      </c>
      <c r="L411" s="36" t="e">
        <f t="shared" ca="1" si="92"/>
        <v>#N/A</v>
      </c>
      <c r="M411" s="37" t="e">
        <f t="shared" ca="1" si="90"/>
        <v>#N/A</v>
      </c>
      <c r="N411" s="37" t="e">
        <f t="shared" ca="1" si="91"/>
        <v>#N/A</v>
      </c>
      <c r="P411" s="35" t="e">
        <f t="shared" ca="1" si="99"/>
        <v>#N/A</v>
      </c>
      <c r="Q411" s="59" t="e">
        <f t="shared" ca="1" si="93"/>
        <v>#N/A</v>
      </c>
      <c r="R411" s="44" t="e">
        <f t="shared" ca="1" si="94"/>
        <v>#N/A</v>
      </c>
      <c r="S411" s="37" t="e">
        <f ca="1">IF(P411="","",IF(P411="Total",SUM($S$19:S410),VLOOKUP($P411,$B$12:$L465,11,FALSE)))</f>
        <v>#N/A</v>
      </c>
      <c r="T411" s="44" t="e">
        <f ca="1">IF(payfreq="Annually",IF(P411="","",IF(P411="Total",SUM($T$19:T410),Adj_Rate*$R411)),IF(payfreq="Semiannually",IF(P411="","",IF(P411="Total",SUM($T$19:T410),Adj_Rate/2*$R411)),IF(payfreq="Quarterly",IF(P411="","",IF(P411="Total",SUM($T$19:T410),Adj_Rate/4*$R411)),IF(payfreq="Monthly",IF(P411="","",IF(P411="Total",SUM($T$19:T410),Adj_Rate/12*$R411)),""))))</f>
        <v>#N/A</v>
      </c>
      <c r="U411" s="37" t="e">
        <f t="shared" ca="1" si="95"/>
        <v>#N/A</v>
      </c>
      <c r="V411" s="44" t="e">
        <f t="shared" ca="1" si="96"/>
        <v>#N/A</v>
      </c>
    </row>
    <row r="412" spans="2:22">
      <c r="B412" s="38" t="e">
        <f t="shared" ca="1" si="97"/>
        <v>#N/A</v>
      </c>
      <c r="C412" s="77" t="e">
        <f t="shared" ca="1" si="98"/>
        <v>#N/A</v>
      </c>
      <c r="D412" s="78" t="e">
        <f ca="1">+IF(AND(B412&lt;$G$7),VLOOKUP($B$1,Inventory!$A$1:$BC$500,35,FALSE),IF(AND(B412=$G$7,pmt_timing="End"),VLOOKUP($B$1,Inventory!$A$1:$BC$500,35,FALSE),0))</f>
        <v>#N/A</v>
      </c>
      <c r="E412" s="78">
        <v>0</v>
      </c>
      <c r="F412" s="78">
        <v>0</v>
      </c>
      <c r="G412" s="78">
        <v>0</v>
      </c>
      <c r="H412" s="78">
        <v>0</v>
      </c>
      <c r="I412" s="78">
        <v>0</v>
      </c>
      <c r="J412" s="78">
        <v>0</v>
      </c>
      <c r="K412" s="78">
        <v>0</v>
      </c>
      <c r="L412" s="36" t="e">
        <f t="shared" ca="1" si="92"/>
        <v>#N/A</v>
      </c>
      <c r="M412" s="37" t="e">
        <f t="shared" ca="1" si="90"/>
        <v>#N/A</v>
      </c>
      <c r="N412" s="37" t="e">
        <f t="shared" ca="1" si="91"/>
        <v>#N/A</v>
      </c>
      <c r="P412" s="35" t="e">
        <f t="shared" ca="1" si="99"/>
        <v>#N/A</v>
      </c>
      <c r="Q412" s="59" t="e">
        <f t="shared" ca="1" si="93"/>
        <v>#N/A</v>
      </c>
      <c r="R412" s="44" t="e">
        <f t="shared" ca="1" si="94"/>
        <v>#N/A</v>
      </c>
      <c r="S412" s="37" t="e">
        <f ca="1">IF(P412="","",IF(P412="Total",SUM($S$19:S411),VLOOKUP($P412,$B$12:$L466,11,FALSE)))</f>
        <v>#N/A</v>
      </c>
      <c r="T412" s="44" t="e">
        <f ca="1">IF(payfreq="Annually",IF(P412="","",IF(P412="Total",SUM($T$19:T411),Adj_Rate*$R412)),IF(payfreq="Semiannually",IF(P412="","",IF(P412="Total",SUM($T$19:T411),Adj_Rate/2*$R412)),IF(payfreq="Quarterly",IF(P412="","",IF(P412="Total",SUM($T$19:T411),Adj_Rate/4*$R412)),IF(payfreq="Monthly",IF(P412="","",IF(P412="Total",SUM($T$19:T411),Adj_Rate/12*$R412)),""))))</f>
        <v>#N/A</v>
      </c>
      <c r="U412" s="37" t="e">
        <f t="shared" ca="1" si="95"/>
        <v>#N/A</v>
      </c>
      <c r="V412" s="44" t="e">
        <f t="shared" ca="1" si="96"/>
        <v>#N/A</v>
      </c>
    </row>
    <row r="413" spans="2:22">
      <c r="B413" s="38" t="e">
        <f t="shared" ca="1" si="97"/>
        <v>#N/A</v>
      </c>
      <c r="C413" s="77" t="e">
        <f t="shared" ca="1" si="98"/>
        <v>#N/A</v>
      </c>
      <c r="D413" s="78" t="e">
        <f ca="1">+IF(AND(B413&lt;$G$7),VLOOKUP($B$1,Inventory!$A$1:$BC$500,35,FALSE),IF(AND(B413=$G$7,pmt_timing="End"),VLOOKUP($B$1,Inventory!$A$1:$BC$500,35,FALSE),0))</f>
        <v>#N/A</v>
      </c>
      <c r="E413" s="78">
        <v>0</v>
      </c>
      <c r="F413" s="78">
        <v>0</v>
      </c>
      <c r="G413" s="78">
        <v>0</v>
      </c>
      <c r="H413" s="78">
        <v>0</v>
      </c>
      <c r="I413" s="78">
        <v>0</v>
      </c>
      <c r="J413" s="78">
        <v>0</v>
      </c>
      <c r="K413" s="78">
        <v>0</v>
      </c>
      <c r="L413" s="36" t="e">
        <f t="shared" ca="1" si="92"/>
        <v>#N/A</v>
      </c>
      <c r="M413" s="37" t="e">
        <f t="shared" ca="1" si="90"/>
        <v>#N/A</v>
      </c>
      <c r="N413" s="37" t="e">
        <f t="shared" ca="1" si="91"/>
        <v>#N/A</v>
      </c>
      <c r="P413" s="35" t="e">
        <f t="shared" ca="1" si="99"/>
        <v>#N/A</v>
      </c>
      <c r="Q413" s="59" t="e">
        <f t="shared" ca="1" si="93"/>
        <v>#N/A</v>
      </c>
      <c r="R413" s="44" t="e">
        <f t="shared" ca="1" si="94"/>
        <v>#N/A</v>
      </c>
      <c r="S413" s="37" t="e">
        <f ca="1">IF(P413="","",IF(P413="Total",SUM($S$19:S412),VLOOKUP($P413,$B$12:$L467,11,FALSE)))</f>
        <v>#N/A</v>
      </c>
      <c r="T413" s="44" t="e">
        <f ca="1">IF(payfreq="Annually",IF(P413="","",IF(P413="Total",SUM($T$19:T412),Adj_Rate*$R413)),IF(payfreq="Semiannually",IF(P413="","",IF(P413="Total",SUM($T$19:T412),Adj_Rate/2*$R413)),IF(payfreq="Quarterly",IF(P413="","",IF(P413="Total",SUM($T$19:T412),Adj_Rate/4*$R413)),IF(payfreq="Monthly",IF(P413="","",IF(P413="Total",SUM($T$19:T412),Adj_Rate/12*$R413)),""))))</f>
        <v>#N/A</v>
      </c>
      <c r="U413" s="37" t="e">
        <f t="shared" ca="1" si="95"/>
        <v>#N/A</v>
      </c>
      <c r="V413" s="44" t="e">
        <f t="shared" ca="1" si="96"/>
        <v>#N/A</v>
      </c>
    </row>
    <row r="414" spans="2:22">
      <c r="B414" s="38" t="e">
        <f t="shared" ca="1" si="97"/>
        <v>#N/A</v>
      </c>
      <c r="C414" s="77" t="e">
        <f t="shared" ca="1" si="98"/>
        <v>#N/A</v>
      </c>
      <c r="D414" s="78" t="e">
        <f ca="1">+IF(AND(B414&lt;$G$7),VLOOKUP($B$1,Inventory!$A$1:$BC$500,35,FALSE),IF(AND(B414=$G$7,pmt_timing="End"),VLOOKUP($B$1,Inventory!$A$1:$BC$500,35,FALSE),0))</f>
        <v>#N/A</v>
      </c>
      <c r="E414" s="78">
        <v>0</v>
      </c>
      <c r="F414" s="78">
        <v>0</v>
      </c>
      <c r="G414" s="78">
        <v>0</v>
      </c>
      <c r="H414" s="78">
        <v>0</v>
      </c>
      <c r="I414" s="78">
        <v>0</v>
      </c>
      <c r="J414" s="78">
        <v>0</v>
      </c>
      <c r="K414" s="78">
        <v>0</v>
      </c>
      <c r="L414" s="36" t="e">
        <f t="shared" ca="1" si="92"/>
        <v>#N/A</v>
      </c>
      <c r="M414" s="37" t="e">
        <f t="shared" ca="1" si="90"/>
        <v>#N/A</v>
      </c>
      <c r="N414" s="37" t="e">
        <f t="shared" ca="1" si="91"/>
        <v>#N/A</v>
      </c>
      <c r="P414" s="35" t="e">
        <f t="shared" ca="1" si="99"/>
        <v>#N/A</v>
      </c>
      <c r="Q414" s="59" t="e">
        <f t="shared" ca="1" si="93"/>
        <v>#N/A</v>
      </c>
      <c r="R414" s="44" t="e">
        <f t="shared" ca="1" si="94"/>
        <v>#N/A</v>
      </c>
      <c r="S414" s="37" t="e">
        <f ca="1">IF(P414="","",IF(P414="Total",SUM($S$19:S413),VLOOKUP($P414,$B$12:$L468,11,FALSE)))</f>
        <v>#N/A</v>
      </c>
      <c r="T414" s="44" t="e">
        <f ca="1">IF(payfreq="Annually",IF(P414="","",IF(P414="Total",SUM($T$19:T413),Adj_Rate*$R414)),IF(payfreq="Semiannually",IF(P414="","",IF(P414="Total",SUM($T$19:T413),Adj_Rate/2*$R414)),IF(payfreq="Quarterly",IF(P414="","",IF(P414="Total",SUM($T$19:T413),Adj_Rate/4*$R414)),IF(payfreq="Monthly",IF(P414="","",IF(P414="Total",SUM($T$19:T413),Adj_Rate/12*$R414)),""))))</f>
        <v>#N/A</v>
      </c>
      <c r="U414" s="37" t="e">
        <f t="shared" ca="1" si="95"/>
        <v>#N/A</v>
      </c>
      <c r="V414" s="44" t="e">
        <f t="shared" ca="1" si="96"/>
        <v>#N/A</v>
      </c>
    </row>
    <row r="415" spans="2:22">
      <c r="B415" s="38" t="e">
        <f t="shared" ca="1" si="97"/>
        <v>#N/A</v>
      </c>
      <c r="C415" s="77" t="e">
        <f t="shared" ca="1" si="98"/>
        <v>#N/A</v>
      </c>
      <c r="D415" s="78" t="e">
        <f ca="1">+IF(AND(B415&lt;$G$7),VLOOKUP($B$1,Inventory!$A$1:$BC$500,35,FALSE),IF(AND(B415=$G$7,pmt_timing="End"),VLOOKUP($B$1,Inventory!$A$1:$BC$500,35,FALSE),0))</f>
        <v>#N/A</v>
      </c>
      <c r="E415" s="78">
        <v>0</v>
      </c>
      <c r="F415" s="78">
        <v>0</v>
      </c>
      <c r="G415" s="78">
        <v>0</v>
      </c>
      <c r="H415" s="78">
        <v>0</v>
      </c>
      <c r="I415" s="78">
        <v>0</v>
      </c>
      <c r="J415" s="78">
        <v>0</v>
      </c>
      <c r="K415" s="78">
        <v>0</v>
      </c>
      <c r="L415" s="36" t="e">
        <f t="shared" ca="1" si="92"/>
        <v>#N/A</v>
      </c>
      <c r="M415" s="37" t="e">
        <f t="shared" ca="1" si="90"/>
        <v>#N/A</v>
      </c>
      <c r="N415" s="37" t="e">
        <f t="shared" ca="1" si="91"/>
        <v>#N/A</v>
      </c>
      <c r="P415" s="35" t="e">
        <f t="shared" ca="1" si="99"/>
        <v>#N/A</v>
      </c>
      <c r="Q415" s="59" t="e">
        <f t="shared" ca="1" si="93"/>
        <v>#N/A</v>
      </c>
      <c r="R415" s="44" t="e">
        <f t="shared" ca="1" si="94"/>
        <v>#N/A</v>
      </c>
      <c r="S415" s="37" t="e">
        <f ca="1">IF(P415="","",IF(P415="Total",SUM($S$19:S414),VLOOKUP($P415,$B$12:$L469,11,FALSE)))</f>
        <v>#N/A</v>
      </c>
      <c r="T415" s="44" t="e">
        <f ca="1">IF(payfreq="Annually",IF(P415="","",IF(P415="Total",SUM($T$19:T414),Adj_Rate*$R415)),IF(payfreq="Semiannually",IF(P415="","",IF(P415="Total",SUM($T$19:T414),Adj_Rate/2*$R415)),IF(payfreq="Quarterly",IF(P415="","",IF(P415="Total",SUM($T$19:T414),Adj_Rate/4*$R415)),IF(payfreq="Monthly",IF(P415="","",IF(P415="Total",SUM($T$19:T414),Adj_Rate/12*$R415)),""))))</f>
        <v>#N/A</v>
      </c>
      <c r="U415" s="37" t="e">
        <f t="shared" ca="1" si="95"/>
        <v>#N/A</v>
      </c>
      <c r="V415" s="44" t="e">
        <f t="shared" ca="1" si="96"/>
        <v>#N/A</v>
      </c>
    </row>
    <row r="416" spans="2:22">
      <c r="B416" s="38" t="e">
        <f t="shared" ca="1" si="97"/>
        <v>#N/A</v>
      </c>
      <c r="C416" s="77" t="e">
        <f t="shared" ca="1" si="98"/>
        <v>#N/A</v>
      </c>
      <c r="D416" s="78" t="e">
        <f ca="1">+IF(AND(B416&lt;$G$7),VLOOKUP($B$1,Inventory!$A$1:$BC$500,35,FALSE),IF(AND(B416=$G$7,pmt_timing="End"),VLOOKUP($B$1,Inventory!$A$1:$BC$500,35,FALSE),0))</f>
        <v>#N/A</v>
      </c>
      <c r="E416" s="78">
        <v>0</v>
      </c>
      <c r="F416" s="78">
        <v>0</v>
      </c>
      <c r="G416" s="78">
        <v>0</v>
      </c>
      <c r="H416" s="78">
        <v>0</v>
      </c>
      <c r="I416" s="78">
        <v>0</v>
      </c>
      <c r="J416" s="78">
        <v>0</v>
      </c>
      <c r="K416" s="78">
        <v>0</v>
      </c>
      <c r="L416" s="36" t="e">
        <f t="shared" ca="1" si="92"/>
        <v>#N/A</v>
      </c>
      <c r="M416" s="37" t="e">
        <f t="shared" ca="1" si="90"/>
        <v>#N/A</v>
      </c>
      <c r="N416" s="37" t="e">
        <f t="shared" ca="1" si="91"/>
        <v>#N/A</v>
      </c>
      <c r="P416" s="35" t="e">
        <f t="shared" ca="1" si="99"/>
        <v>#N/A</v>
      </c>
      <c r="Q416" s="59" t="e">
        <f t="shared" ca="1" si="93"/>
        <v>#N/A</v>
      </c>
      <c r="R416" s="44" t="e">
        <f t="shared" ca="1" si="94"/>
        <v>#N/A</v>
      </c>
      <c r="S416" s="37" t="e">
        <f ca="1">IF(P416="","",IF(P416="Total",SUM($S$19:S415),VLOOKUP($P416,$B$12:$L470,11,FALSE)))</f>
        <v>#N/A</v>
      </c>
      <c r="T416" s="44" t="e">
        <f ca="1">IF(payfreq="Annually",IF(P416="","",IF(P416="Total",SUM($T$19:T415),Adj_Rate*$R416)),IF(payfreq="Semiannually",IF(P416="","",IF(P416="Total",SUM($T$19:T415),Adj_Rate/2*$R416)),IF(payfreq="Quarterly",IF(P416="","",IF(P416="Total",SUM($T$19:T415),Adj_Rate/4*$R416)),IF(payfreq="Monthly",IF(P416="","",IF(P416="Total",SUM($T$19:T415),Adj_Rate/12*$R416)),""))))</f>
        <v>#N/A</v>
      </c>
      <c r="U416" s="37" t="e">
        <f t="shared" ca="1" si="95"/>
        <v>#N/A</v>
      </c>
      <c r="V416" s="44" t="e">
        <f t="shared" ca="1" si="96"/>
        <v>#N/A</v>
      </c>
    </row>
    <row r="417" spans="2:22">
      <c r="B417" s="38" t="e">
        <f t="shared" ca="1" si="97"/>
        <v>#N/A</v>
      </c>
      <c r="C417" s="77" t="e">
        <f t="shared" ca="1" si="98"/>
        <v>#N/A</v>
      </c>
      <c r="D417" s="78" t="e">
        <f ca="1">+IF(AND(B417&lt;$G$7),VLOOKUP($B$1,Inventory!$A$1:$BC$500,35,FALSE),IF(AND(B417=$G$7,pmt_timing="End"),VLOOKUP($B$1,Inventory!$A$1:$BC$500,35,FALSE),0))</f>
        <v>#N/A</v>
      </c>
      <c r="E417" s="78">
        <v>0</v>
      </c>
      <c r="F417" s="78">
        <v>0</v>
      </c>
      <c r="G417" s="78">
        <v>0</v>
      </c>
      <c r="H417" s="78">
        <v>0</v>
      </c>
      <c r="I417" s="78">
        <v>0</v>
      </c>
      <c r="J417" s="78">
        <v>0</v>
      </c>
      <c r="K417" s="78">
        <v>0</v>
      </c>
      <c r="L417" s="36" t="e">
        <f t="shared" ca="1" si="92"/>
        <v>#N/A</v>
      </c>
      <c r="M417" s="37" t="e">
        <f t="shared" ca="1" si="90"/>
        <v>#N/A</v>
      </c>
      <c r="N417" s="37" t="e">
        <f t="shared" ca="1" si="91"/>
        <v>#N/A</v>
      </c>
      <c r="P417" s="35" t="e">
        <f t="shared" ca="1" si="99"/>
        <v>#N/A</v>
      </c>
      <c r="Q417" s="59" t="e">
        <f t="shared" ca="1" si="93"/>
        <v>#N/A</v>
      </c>
      <c r="R417" s="44" t="e">
        <f t="shared" ca="1" si="94"/>
        <v>#N/A</v>
      </c>
      <c r="S417" s="37" t="e">
        <f ca="1">IF(P417="","",IF(P417="Total",SUM($S$19:S416),VLOOKUP($P417,$B$12:$L471,11,FALSE)))</f>
        <v>#N/A</v>
      </c>
      <c r="T417" s="44" t="e">
        <f ca="1">IF(payfreq="Annually",IF(P417="","",IF(P417="Total",SUM($T$19:T416),Adj_Rate*$R417)),IF(payfreq="Semiannually",IF(P417="","",IF(P417="Total",SUM($T$19:T416),Adj_Rate/2*$R417)),IF(payfreq="Quarterly",IF(P417="","",IF(P417="Total",SUM($T$19:T416),Adj_Rate/4*$R417)),IF(payfreq="Monthly",IF(P417="","",IF(P417="Total",SUM($T$19:T416),Adj_Rate/12*$R417)),""))))</f>
        <v>#N/A</v>
      </c>
      <c r="U417" s="37" t="e">
        <f t="shared" ca="1" si="95"/>
        <v>#N/A</v>
      </c>
      <c r="V417" s="44" t="e">
        <f t="shared" ca="1" si="96"/>
        <v>#N/A</v>
      </c>
    </row>
    <row r="418" spans="2:22">
      <c r="B418" s="38" t="e">
        <f t="shared" ca="1" si="97"/>
        <v>#N/A</v>
      </c>
      <c r="C418" s="77" t="e">
        <f t="shared" ca="1" si="98"/>
        <v>#N/A</v>
      </c>
      <c r="D418" s="78" t="e">
        <f ca="1">+IF(AND(B418&lt;$G$7),VLOOKUP($B$1,Inventory!$A$1:$BC$500,35,FALSE),IF(AND(B418=$G$7,pmt_timing="End"),VLOOKUP($B$1,Inventory!$A$1:$BC$500,35,FALSE),0))</f>
        <v>#N/A</v>
      </c>
      <c r="E418" s="78">
        <v>0</v>
      </c>
      <c r="F418" s="78">
        <v>0</v>
      </c>
      <c r="G418" s="78">
        <v>0</v>
      </c>
      <c r="H418" s="78">
        <v>0</v>
      </c>
      <c r="I418" s="78">
        <v>0</v>
      </c>
      <c r="J418" s="78">
        <v>0</v>
      </c>
      <c r="K418" s="78">
        <v>0</v>
      </c>
      <c r="L418" s="36" t="e">
        <f t="shared" ca="1" si="92"/>
        <v>#N/A</v>
      </c>
      <c r="M418" s="37" t="e">
        <f t="shared" ca="1" si="90"/>
        <v>#N/A</v>
      </c>
      <c r="N418" s="37" t="e">
        <f t="shared" ca="1" si="91"/>
        <v>#N/A</v>
      </c>
      <c r="P418" s="35" t="e">
        <f t="shared" ca="1" si="99"/>
        <v>#N/A</v>
      </c>
      <c r="Q418" s="59" t="e">
        <f t="shared" ca="1" si="93"/>
        <v>#N/A</v>
      </c>
      <c r="R418" s="44" t="e">
        <f t="shared" ca="1" si="94"/>
        <v>#N/A</v>
      </c>
      <c r="S418" s="37" t="e">
        <f ca="1">IF(P418="","",IF(P418="Total",SUM($S$19:S417),VLOOKUP($P418,$B$12:$L472,11,FALSE)))</f>
        <v>#N/A</v>
      </c>
      <c r="T418" s="44" t="e">
        <f ca="1">IF(payfreq="Annually",IF(P418="","",IF(P418="Total",SUM($T$19:T417),Adj_Rate*$R418)),IF(payfreq="Semiannually",IF(P418="","",IF(P418="Total",SUM($T$19:T417),Adj_Rate/2*$R418)),IF(payfreq="Quarterly",IF(P418="","",IF(P418="Total",SUM($T$19:T417),Adj_Rate/4*$R418)),IF(payfreq="Monthly",IF(P418="","",IF(P418="Total",SUM($T$19:T417),Adj_Rate/12*$R418)),""))))</f>
        <v>#N/A</v>
      </c>
      <c r="U418" s="37" t="e">
        <f t="shared" ca="1" si="95"/>
        <v>#N/A</v>
      </c>
      <c r="V418" s="44" t="e">
        <f t="shared" ca="1" si="96"/>
        <v>#N/A</v>
      </c>
    </row>
    <row r="419" spans="2:22">
      <c r="B419" s="38" t="e">
        <f t="shared" ca="1" si="97"/>
        <v>#N/A</v>
      </c>
      <c r="C419" s="77" t="e">
        <f t="shared" ca="1" si="98"/>
        <v>#N/A</v>
      </c>
      <c r="D419" s="78" t="e">
        <f ca="1">+IF(AND(B419&lt;$G$7),VLOOKUP($B$1,Inventory!$A$1:$BC$500,35,FALSE),IF(AND(B419=$G$7,pmt_timing="End"),VLOOKUP($B$1,Inventory!$A$1:$BC$500,35,FALSE),0))</f>
        <v>#N/A</v>
      </c>
      <c r="E419" s="78">
        <v>0</v>
      </c>
      <c r="F419" s="78">
        <v>0</v>
      </c>
      <c r="G419" s="78">
        <v>0</v>
      </c>
      <c r="H419" s="78">
        <v>0</v>
      </c>
      <c r="I419" s="78">
        <v>0</v>
      </c>
      <c r="J419" s="78">
        <v>0</v>
      </c>
      <c r="K419" s="78">
        <v>0</v>
      </c>
      <c r="L419" s="36" t="e">
        <f t="shared" ca="1" si="92"/>
        <v>#N/A</v>
      </c>
      <c r="M419" s="37" t="e">
        <f t="shared" ca="1" si="90"/>
        <v>#N/A</v>
      </c>
      <c r="N419" s="37" t="e">
        <f t="shared" ca="1" si="91"/>
        <v>#N/A</v>
      </c>
      <c r="P419" s="35" t="e">
        <f t="shared" ca="1" si="99"/>
        <v>#N/A</v>
      </c>
      <c r="Q419" s="59" t="e">
        <f t="shared" ca="1" si="93"/>
        <v>#N/A</v>
      </c>
      <c r="R419" s="44" t="e">
        <f t="shared" ca="1" si="94"/>
        <v>#N/A</v>
      </c>
      <c r="S419" s="37" t="e">
        <f ca="1">IF(P419="","",IF(P419="Total",SUM($S$19:S418),VLOOKUP($P419,$B$12:$L473,11,FALSE)))</f>
        <v>#N/A</v>
      </c>
      <c r="T419" s="44" t="e">
        <f ca="1">IF(payfreq="Annually",IF(P419="","",IF(P419="Total",SUM($T$19:T418),Adj_Rate*$R419)),IF(payfreq="Semiannually",IF(P419="","",IF(P419="Total",SUM($T$19:T418),Adj_Rate/2*$R419)),IF(payfreq="Quarterly",IF(P419="","",IF(P419="Total",SUM($T$19:T418),Adj_Rate/4*$R419)),IF(payfreq="Monthly",IF(P419="","",IF(P419="Total",SUM($T$19:T418),Adj_Rate/12*$R419)),""))))</f>
        <v>#N/A</v>
      </c>
      <c r="U419" s="37" t="e">
        <f t="shared" ca="1" si="95"/>
        <v>#N/A</v>
      </c>
      <c r="V419" s="44" t="e">
        <f t="shared" ca="1" si="96"/>
        <v>#N/A</v>
      </c>
    </row>
    <row r="420" spans="2:22">
      <c r="B420" s="38" t="e">
        <f t="shared" ca="1" si="97"/>
        <v>#N/A</v>
      </c>
      <c r="C420" s="77" t="e">
        <f t="shared" ca="1" si="98"/>
        <v>#N/A</v>
      </c>
      <c r="D420" s="78" t="e">
        <f ca="1">+IF(AND(B420&lt;$G$7),VLOOKUP($B$1,Inventory!$A$1:$BC$500,35,FALSE),IF(AND(B420=$G$7,pmt_timing="End"),VLOOKUP($B$1,Inventory!$A$1:$BC$500,35,FALSE),0))</f>
        <v>#N/A</v>
      </c>
      <c r="E420" s="78">
        <v>0</v>
      </c>
      <c r="F420" s="78">
        <v>0</v>
      </c>
      <c r="G420" s="78">
        <v>0</v>
      </c>
      <c r="H420" s="78">
        <v>0</v>
      </c>
      <c r="I420" s="78">
        <v>0</v>
      </c>
      <c r="J420" s="78">
        <v>0</v>
      </c>
      <c r="K420" s="78">
        <v>0</v>
      </c>
      <c r="L420" s="36" t="e">
        <f t="shared" ca="1" si="92"/>
        <v>#N/A</v>
      </c>
      <c r="M420" s="37" t="e">
        <f t="shared" ca="1" si="90"/>
        <v>#N/A</v>
      </c>
      <c r="N420" s="37" t="e">
        <f t="shared" ca="1" si="91"/>
        <v>#N/A</v>
      </c>
      <c r="P420" s="35" t="e">
        <f t="shared" ca="1" si="99"/>
        <v>#N/A</v>
      </c>
      <c r="Q420" s="59" t="e">
        <f t="shared" ca="1" si="93"/>
        <v>#N/A</v>
      </c>
      <c r="R420" s="44" t="e">
        <f t="shared" ca="1" si="94"/>
        <v>#N/A</v>
      </c>
      <c r="S420" s="37" t="e">
        <f ca="1">IF(P420="","",IF(P420="Total",SUM($S$19:S419),VLOOKUP($P420,$B$12:$L474,11,FALSE)))</f>
        <v>#N/A</v>
      </c>
      <c r="T420" s="44" t="e">
        <f ca="1">IF(payfreq="Annually",IF(P420="","",IF(P420="Total",SUM($T$19:T419),Adj_Rate*$R420)),IF(payfreq="Semiannually",IF(P420="","",IF(P420="Total",SUM($T$19:T419),Adj_Rate/2*$R420)),IF(payfreq="Quarterly",IF(P420="","",IF(P420="Total",SUM($T$19:T419),Adj_Rate/4*$R420)),IF(payfreq="Monthly",IF(P420="","",IF(P420="Total",SUM($T$19:T419),Adj_Rate/12*$R420)),""))))</f>
        <v>#N/A</v>
      </c>
      <c r="U420" s="37" t="e">
        <f t="shared" ca="1" si="95"/>
        <v>#N/A</v>
      </c>
      <c r="V420" s="44" t="e">
        <f t="shared" ca="1" si="96"/>
        <v>#N/A</v>
      </c>
    </row>
    <row r="421" spans="2:22">
      <c r="B421" s="38" t="e">
        <f t="shared" ca="1" si="97"/>
        <v>#N/A</v>
      </c>
      <c r="C421" s="77" t="e">
        <f t="shared" ca="1" si="98"/>
        <v>#N/A</v>
      </c>
      <c r="D421" s="78" t="e">
        <f ca="1">+IF(AND(B421&lt;$G$7),VLOOKUP($B$1,Inventory!$A$1:$BC$500,35,FALSE),IF(AND(B421=$G$7,pmt_timing="End"),VLOOKUP($B$1,Inventory!$A$1:$BC$500,35,FALSE),0))</f>
        <v>#N/A</v>
      </c>
      <c r="E421" s="78">
        <v>0</v>
      </c>
      <c r="F421" s="78">
        <v>0</v>
      </c>
      <c r="G421" s="78">
        <v>0</v>
      </c>
      <c r="H421" s="78">
        <v>0</v>
      </c>
      <c r="I421" s="78">
        <v>0</v>
      </c>
      <c r="J421" s="78">
        <v>0</v>
      </c>
      <c r="K421" s="78">
        <v>0</v>
      </c>
      <c r="L421" s="36" t="e">
        <f t="shared" ca="1" si="92"/>
        <v>#N/A</v>
      </c>
      <c r="M421" s="37" t="e">
        <f t="shared" ca="1" si="90"/>
        <v>#N/A</v>
      </c>
      <c r="N421" s="37" t="e">
        <f t="shared" ca="1" si="91"/>
        <v>#N/A</v>
      </c>
      <c r="P421" s="35" t="e">
        <f t="shared" ca="1" si="99"/>
        <v>#N/A</v>
      </c>
      <c r="Q421" s="59" t="e">
        <f t="shared" ca="1" si="93"/>
        <v>#N/A</v>
      </c>
      <c r="R421" s="44" t="e">
        <f t="shared" ca="1" si="94"/>
        <v>#N/A</v>
      </c>
      <c r="S421" s="37" t="e">
        <f ca="1">IF(P421="","",IF(P421="Total",SUM($S$19:S420),VLOOKUP($P421,$B$12:$L475,11,FALSE)))</f>
        <v>#N/A</v>
      </c>
      <c r="T421" s="44" t="e">
        <f ca="1">IF(payfreq="Annually",IF(P421="","",IF(P421="Total",SUM($T$19:T420),Adj_Rate*$R421)),IF(payfreq="Semiannually",IF(P421="","",IF(P421="Total",SUM($T$19:T420),Adj_Rate/2*$R421)),IF(payfreq="Quarterly",IF(P421="","",IF(P421="Total",SUM($T$19:T420),Adj_Rate/4*$R421)),IF(payfreq="Monthly",IF(P421="","",IF(P421="Total",SUM($T$19:T420),Adj_Rate/12*$R421)),""))))</f>
        <v>#N/A</v>
      </c>
      <c r="U421" s="37" t="e">
        <f t="shared" ca="1" si="95"/>
        <v>#N/A</v>
      </c>
      <c r="V421" s="44" t="e">
        <f t="shared" ca="1" si="96"/>
        <v>#N/A</v>
      </c>
    </row>
    <row r="422" spans="2:22">
      <c r="B422" s="38" t="e">
        <f t="shared" ca="1" si="97"/>
        <v>#N/A</v>
      </c>
      <c r="C422" s="77" t="e">
        <f t="shared" ca="1" si="98"/>
        <v>#N/A</v>
      </c>
      <c r="D422" s="78" t="e">
        <f ca="1">+IF(AND(B422&lt;$G$7),VLOOKUP($B$1,Inventory!$A$1:$BC$500,35,FALSE),IF(AND(B422=$G$7,pmt_timing="End"),VLOOKUP($B$1,Inventory!$A$1:$BC$500,35,FALSE),0))</f>
        <v>#N/A</v>
      </c>
      <c r="E422" s="78">
        <v>0</v>
      </c>
      <c r="F422" s="78">
        <v>0</v>
      </c>
      <c r="G422" s="78">
        <v>0</v>
      </c>
      <c r="H422" s="78">
        <v>0</v>
      </c>
      <c r="I422" s="78">
        <v>0</v>
      </c>
      <c r="J422" s="78">
        <v>0</v>
      </c>
      <c r="K422" s="78">
        <v>0</v>
      </c>
      <c r="L422" s="36" t="e">
        <f t="shared" ca="1" si="92"/>
        <v>#N/A</v>
      </c>
      <c r="M422" s="37" t="e">
        <f t="shared" ca="1" si="90"/>
        <v>#N/A</v>
      </c>
      <c r="N422" s="37" t="e">
        <f t="shared" ca="1" si="91"/>
        <v>#N/A</v>
      </c>
      <c r="P422" s="35" t="e">
        <f t="shared" ca="1" si="99"/>
        <v>#N/A</v>
      </c>
      <c r="Q422" s="59" t="e">
        <f t="shared" ca="1" si="93"/>
        <v>#N/A</v>
      </c>
      <c r="R422" s="44" t="e">
        <f t="shared" ca="1" si="94"/>
        <v>#N/A</v>
      </c>
      <c r="S422" s="37" t="e">
        <f ca="1">IF(P422="","",IF(P422="Total",SUM($S$19:S421),VLOOKUP($P422,$B$12:$L476,11,FALSE)))</f>
        <v>#N/A</v>
      </c>
      <c r="T422" s="44" t="e">
        <f ca="1">IF(payfreq="Annually",IF(P422="","",IF(P422="Total",SUM($T$19:T421),Adj_Rate*$R422)),IF(payfreq="Semiannually",IF(P422="","",IF(P422="Total",SUM($T$19:T421),Adj_Rate/2*$R422)),IF(payfreq="Quarterly",IF(P422="","",IF(P422="Total",SUM($T$19:T421),Adj_Rate/4*$R422)),IF(payfreq="Monthly",IF(P422="","",IF(P422="Total",SUM($T$19:T421),Adj_Rate/12*$R422)),""))))</f>
        <v>#N/A</v>
      </c>
      <c r="U422" s="37" t="e">
        <f t="shared" ca="1" si="95"/>
        <v>#N/A</v>
      </c>
      <c r="V422" s="44" t="e">
        <f t="shared" ca="1" si="96"/>
        <v>#N/A</v>
      </c>
    </row>
    <row r="423" spans="2:22">
      <c r="B423" s="38" t="e">
        <f t="shared" ca="1" si="97"/>
        <v>#N/A</v>
      </c>
      <c r="C423" s="77" t="e">
        <f t="shared" ca="1" si="98"/>
        <v>#N/A</v>
      </c>
      <c r="D423" s="78" t="e">
        <f ca="1">+IF(AND(B423&lt;$G$7),VLOOKUP($B$1,Inventory!$A$1:$BC$500,35,FALSE),IF(AND(B423=$G$7,pmt_timing="End"),VLOOKUP($B$1,Inventory!$A$1:$BC$500,35,FALSE),0))</f>
        <v>#N/A</v>
      </c>
      <c r="E423" s="78">
        <v>0</v>
      </c>
      <c r="F423" s="78">
        <v>0</v>
      </c>
      <c r="G423" s="78">
        <v>0</v>
      </c>
      <c r="H423" s="78">
        <v>0</v>
      </c>
      <c r="I423" s="78">
        <v>0</v>
      </c>
      <c r="J423" s="78">
        <v>0</v>
      </c>
      <c r="K423" s="78">
        <v>0</v>
      </c>
      <c r="L423" s="36" t="e">
        <f t="shared" ca="1" si="92"/>
        <v>#N/A</v>
      </c>
      <c r="M423" s="37" t="e">
        <f t="shared" ca="1" si="90"/>
        <v>#N/A</v>
      </c>
      <c r="N423" s="37" t="e">
        <f t="shared" ca="1" si="91"/>
        <v>#N/A</v>
      </c>
      <c r="P423" s="35" t="e">
        <f t="shared" ca="1" si="99"/>
        <v>#N/A</v>
      </c>
      <c r="Q423" s="59" t="e">
        <f t="shared" ca="1" si="93"/>
        <v>#N/A</v>
      </c>
      <c r="R423" s="44" t="e">
        <f t="shared" ca="1" si="94"/>
        <v>#N/A</v>
      </c>
      <c r="S423" s="37" t="e">
        <f ca="1">IF(P423="","",IF(P423="Total",SUM($S$19:S422),VLOOKUP($P423,$B$12:$L477,11,FALSE)))</f>
        <v>#N/A</v>
      </c>
      <c r="T423" s="44" t="e">
        <f ca="1">IF(payfreq="Annually",IF(P423="","",IF(P423="Total",SUM($T$19:T422),Adj_Rate*$R423)),IF(payfreq="Semiannually",IF(P423="","",IF(P423="Total",SUM($T$19:T422),Adj_Rate/2*$R423)),IF(payfreq="Quarterly",IF(P423="","",IF(P423="Total",SUM($T$19:T422),Adj_Rate/4*$R423)),IF(payfreq="Monthly",IF(P423="","",IF(P423="Total",SUM($T$19:T422),Adj_Rate/12*$R423)),""))))</f>
        <v>#N/A</v>
      </c>
      <c r="U423" s="37" t="e">
        <f t="shared" ca="1" si="95"/>
        <v>#N/A</v>
      </c>
      <c r="V423" s="44" t="e">
        <f t="shared" ca="1" si="96"/>
        <v>#N/A</v>
      </c>
    </row>
    <row r="424" spans="2:22">
      <c r="B424" s="38" t="e">
        <f t="shared" ca="1" si="97"/>
        <v>#N/A</v>
      </c>
      <c r="C424" s="77" t="e">
        <f t="shared" ca="1" si="98"/>
        <v>#N/A</v>
      </c>
      <c r="D424" s="78" t="e">
        <f ca="1">+IF(AND(B424&lt;$G$7),VLOOKUP($B$1,Inventory!$A$1:$BC$500,35,FALSE),IF(AND(B424=$G$7,pmt_timing="End"),VLOOKUP($B$1,Inventory!$A$1:$BC$500,35,FALSE),0))</f>
        <v>#N/A</v>
      </c>
      <c r="E424" s="78">
        <v>0</v>
      </c>
      <c r="F424" s="78">
        <v>0</v>
      </c>
      <c r="G424" s="78">
        <v>0</v>
      </c>
      <c r="H424" s="78">
        <v>0</v>
      </c>
      <c r="I424" s="78">
        <v>0</v>
      </c>
      <c r="J424" s="78">
        <v>0</v>
      </c>
      <c r="K424" s="78">
        <v>0</v>
      </c>
      <c r="L424" s="36" t="e">
        <f t="shared" ca="1" si="92"/>
        <v>#N/A</v>
      </c>
      <c r="M424" s="37" t="e">
        <f t="shared" ca="1" si="90"/>
        <v>#N/A</v>
      </c>
      <c r="N424" s="37" t="e">
        <f t="shared" ca="1" si="91"/>
        <v>#N/A</v>
      </c>
      <c r="P424" s="35" t="e">
        <f t="shared" ca="1" si="99"/>
        <v>#N/A</v>
      </c>
      <c r="Q424" s="59" t="e">
        <f t="shared" ca="1" si="93"/>
        <v>#N/A</v>
      </c>
      <c r="R424" s="44" t="e">
        <f t="shared" ca="1" si="94"/>
        <v>#N/A</v>
      </c>
      <c r="S424" s="37" t="e">
        <f ca="1">IF(P424="","",IF(P424="Total",SUM($S$19:S423),VLOOKUP($P424,$B$12:$L478,11,FALSE)))</f>
        <v>#N/A</v>
      </c>
      <c r="T424" s="44" t="e">
        <f ca="1">IF(payfreq="Annually",IF(P424="","",IF(P424="Total",SUM($T$19:T423),Adj_Rate*$R424)),IF(payfreq="Semiannually",IF(P424="","",IF(P424="Total",SUM($T$19:T423),Adj_Rate/2*$R424)),IF(payfreq="Quarterly",IF(P424="","",IF(P424="Total",SUM($T$19:T423),Adj_Rate/4*$R424)),IF(payfreq="Monthly",IF(P424="","",IF(P424="Total",SUM($T$19:T423),Adj_Rate/12*$R424)),""))))</f>
        <v>#N/A</v>
      </c>
      <c r="U424" s="37" t="e">
        <f t="shared" ca="1" si="95"/>
        <v>#N/A</v>
      </c>
      <c r="V424" s="44" t="e">
        <f t="shared" ca="1" si="96"/>
        <v>#N/A</v>
      </c>
    </row>
    <row r="425" spans="2:22">
      <c r="B425" s="38" t="e">
        <f t="shared" ca="1" si="97"/>
        <v>#N/A</v>
      </c>
      <c r="C425" s="77" t="e">
        <f t="shared" ca="1" si="98"/>
        <v>#N/A</v>
      </c>
      <c r="D425" s="78" t="e">
        <f ca="1">+IF(AND(B425&lt;$G$7),VLOOKUP($B$1,Inventory!$A$1:$BC$500,35,FALSE),IF(AND(B425=$G$7,pmt_timing="End"),VLOOKUP($B$1,Inventory!$A$1:$BC$500,35,FALSE),0))</f>
        <v>#N/A</v>
      </c>
      <c r="E425" s="78">
        <v>0</v>
      </c>
      <c r="F425" s="78">
        <v>0</v>
      </c>
      <c r="G425" s="78">
        <v>0</v>
      </c>
      <c r="H425" s="78">
        <v>0</v>
      </c>
      <c r="I425" s="78">
        <v>0</v>
      </c>
      <c r="J425" s="78">
        <v>0</v>
      </c>
      <c r="K425" s="78">
        <v>0</v>
      </c>
      <c r="L425" s="36" t="e">
        <f t="shared" ca="1" si="92"/>
        <v>#N/A</v>
      </c>
      <c r="M425" s="37" t="e">
        <f t="shared" ca="1" si="90"/>
        <v>#N/A</v>
      </c>
      <c r="N425" s="37" t="e">
        <f t="shared" ca="1" si="91"/>
        <v>#N/A</v>
      </c>
      <c r="P425" s="35" t="e">
        <f t="shared" ca="1" si="99"/>
        <v>#N/A</v>
      </c>
      <c r="Q425" s="59" t="e">
        <f t="shared" ca="1" si="93"/>
        <v>#N/A</v>
      </c>
      <c r="R425" s="44" t="e">
        <f t="shared" ca="1" si="94"/>
        <v>#N/A</v>
      </c>
      <c r="S425" s="37" t="e">
        <f ca="1">IF(P425="","",IF(P425="Total",SUM($S$19:S424),VLOOKUP($P425,$B$12:$L479,11,FALSE)))</f>
        <v>#N/A</v>
      </c>
      <c r="T425" s="44" t="e">
        <f ca="1">IF(payfreq="Annually",IF(P425="","",IF(P425="Total",SUM($T$19:T424),Adj_Rate*$R425)),IF(payfreq="Semiannually",IF(P425="","",IF(P425="Total",SUM($T$19:T424),Adj_Rate/2*$R425)),IF(payfreq="Quarterly",IF(P425="","",IF(P425="Total",SUM($T$19:T424),Adj_Rate/4*$R425)),IF(payfreq="Monthly",IF(P425="","",IF(P425="Total",SUM($T$19:T424),Adj_Rate/12*$R425)),""))))</f>
        <v>#N/A</v>
      </c>
      <c r="U425" s="37" t="e">
        <f t="shared" ca="1" si="95"/>
        <v>#N/A</v>
      </c>
      <c r="V425" s="44" t="e">
        <f t="shared" ca="1" si="96"/>
        <v>#N/A</v>
      </c>
    </row>
    <row r="426" spans="2:22">
      <c r="B426" s="38" t="e">
        <f t="shared" ca="1" si="97"/>
        <v>#N/A</v>
      </c>
      <c r="C426" s="77" t="e">
        <f t="shared" ca="1" si="98"/>
        <v>#N/A</v>
      </c>
      <c r="D426" s="78" t="e">
        <f ca="1">+IF(AND(B426&lt;$G$7),VLOOKUP($B$1,Inventory!$A$1:$BC$500,35,FALSE),IF(AND(B426=$G$7,pmt_timing="End"),VLOOKUP($B$1,Inventory!$A$1:$BC$500,35,FALSE),0))</f>
        <v>#N/A</v>
      </c>
      <c r="E426" s="78">
        <v>0</v>
      </c>
      <c r="F426" s="78">
        <v>0</v>
      </c>
      <c r="G426" s="78">
        <v>0</v>
      </c>
      <c r="H426" s="78">
        <v>0</v>
      </c>
      <c r="I426" s="78">
        <v>0</v>
      </c>
      <c r="J426" s="78">
        <v>0</v>
      </c>
      <c r="K426" s="78">
        <v>0</v>
      </c>
      <c r="L426" s="36" t="e">
        <f t="shared" ca="1" si="92"/>
        <v>#N/A</v>
      </c>
      <c r="M426" s="37" t="e">
        <f t="shared" ca="1" si="90"/>
        <v>#N/A</v>
      </c>
      <c r="N426" s="37" t="e">
        <f t="shared" ca="1" si="91"/>
        <v>#N/A</v>
      </c>
      <c r="P426" s="35" t="e">
        <f t="shared" ca="1" si="99"/>
        <v>#N/A</v>
      </c>
      <c r="Q426" s="59" t="e">
        <f t="shared" ca="1" si="93"/>
        <v>#N/A</v>
      </c>
      <c r="R426" s="44" t="e">
        <f t="shared" ca="1" si="94"/>
        <v>#N/A</v>
      </c>
      <c r="S426" s="37" t="e">
        <f ca="1">IF(P426="","",IF(P426="Total",SUM($S$19:S425),VLOOKUP($P426,$B$12:$L480,11,FALSE)))</f>
        <v>#N/A</v>
      </c>
      <c r="T426" s="44" t="e">
        <f ca="1">IF(payfreq="Annually",IF(P426="","",IF(P426="Total",SUM($T$19:T425),Adj_Rate*$R426)),IF(payfreq="Semiannually",IF(P426="","",IF(P426="Total",SUM($T$19:T425),Adj_Rate/2*$R426)),IF(payfreq="Quarterly",IF(P426="","",IF(P426="Total",SUM($T$19:T425),Adj_Rate/4*$R426)),IF(payfreq="Monthly",IF(P426="","",IF(P426="Total",SUM($T$19:T425),Adj_Rate/12*$R426)),""))))</f>
        <v>#N/A</v>
      </c>
      <c r="U426" s="37" t="e">
        <f t="shared" ca="1" si="95"/>
        <v>#N/A</v>
      </c>
      <c r="V426" s="44" t="e">
        <f t="shared" ca="1" si="96"/>
        <v>#N/A</v>
      </c>
    </row>
    <row r="427" spans="2:22">
      <c r="B427" s="38" t="e">
        <f t="shared" ca="1" si="97"/>
        <v>#N/A</v>
      </c>
      <c r="C427" s="77" t="e">
        <f t="shared" ca="1" si="98"/>
        <v>#N/A</v>
      </c>
      <c r="D427" s="78" t="e">
        <f ca="1">+IF(AND(B427&lt;$G$7),VLOOKUP($B$1,Inventory!$A$1:$BC$500,35,FALSE),IF(AND(B427=$G$7,pmt_timing="End"),VLOOKUP($B$1,Inventory!$A$1:$BC$500,35,FALSE),0))</f>
        <v>#N/A</v>
      </c>
      <c r="E427" s="78">
        <v>0</v>
      </c>
      <c r="F427" s="78">
        <v>0</v>
      </c>
      <c r="G427" s="78">
        <v>0</v>
      </c>
      <c r="H427" s="78">
        <v>0</v>
      </c>
      <c r="I427" s="78">
        <v>0</v>
      </c>
      <c r="J427" s="78">
        <v>0</v>
      </c>
      <c r="K427" s="78">
        <v>0</v>
      </c>
      <c r="L427" s="36" t="e">
        <f t="shared" ca="1" si="92"/>
        <v>#N/A</v>
      </c>
      <c r="M427" s="37" t="e">
        <f t="shared" ca="1" si="90"/>
        <v>#N/A</v>
      </c>
      <c r="N427" s="37" t="e">
        <f t="shared" ca="1" si="91"/>
        <v>#N/A</v>
      </c>
      <c r="P427" s="35" t="e">
        <f t="shared" ca="1" si="99"/>
        <v>#N/A</v>
      </c>
      <c r="Q427" s="59" t="e">
        <f t="shared" ca="1" si="93"/>
        <v>#N/A</v>
      </c>
      <c r="R427" s="44" t="e">
        <f t="shared" ca="1" si="94"/>
        <v>#N/A</v>
      </c>
      <c r="S427" s="37" t="e">
        <f ca="1">IF(P427="","",IF(P427="Total",SUM($S$19:S426),VLOOKUP($P427,$B$12:$L481,11,FALSE)))</f>
        <v>#N/A</v>
      </c>
      <c r="T427" s="44" t="e">
        <f ca="1">IF(payfreq="Annually",IF(P427="","",IF(P427="Total",SUM($T$19:T426),Adj_Rate*$R427)),IF(payfreq="Semiannually",IF(P427="","",IF(P427="Total",SUM($T$19:T426),Adj_Rate/2*$R427)),IF(payfreq="Quarterly",IF(P427="","",IF(P427="Total",SUM($T$19:T426),Adj_Rate/4*$R427)),IF(payfreq="Monthly",IF(P427="","",IF(P427="Total",SUM($T$19:T426),Adj_Rate/12*$R427)),""))))</f>
        <v>#N/A</v>
      </c>
      <c r="U427" s="37" t="e">
        <f t="shared" ca="1" si="95"/>
        <v>#N/A</v>
      </c>
      <c r="V427" s="44" t="e">
        <f t="shared" ca="1" si="96"/>
        <v>#N/A</v>
      </c>
    </row>
    <row r="428" spans="2:22">
      <c r="B428" s="38" t="e">
        <f t="shared" ca="1" si="97"/>
        <v>#N/A</v>
      </c>
      <c r="C428" s="77" t="e">
        <f t="shared" ca="1" si="98"/>
        <v>#N/A</v>
      </c>
      <c r="D428" s="78" t="e">
        <f ca="1">+IF(AND(B428&lt;$G$7),VLOOKUP($B$1,Inventory!$A$1:$BC$500,35,FALSE),IF(AND(B428=$G$7,pmt_timing="End"),VLOOKUP($B$1,Inventory!$A$1:$BC$500,35,FALSE),0))</f>
        <v>#N/A</v>
      </c>
      <c r="E428" s="78">
        <v>0</v>
      </c>
      <c r="F428" s="78">
        <v>0</v>
      </c>
      <c r="G428" s="78">
        <v>0</v>
      </c>
      <c r="H428" s="78">
        <v>0</v>
      </c>
      <c r="I428" s="78">
        <v>0</v>
      </c>
      <c r="J428" s="78">
        <v>0</v>
      </c>
      <c r="K428" s="78">
        <v>0</v>
      </c>
      <c r="L428" s="36" t="e">
        <f t="shared" ca="1" si="92"/>
        <v>#N/A</v>
      </c>
      <c r="M428" s="37" t="e">
        <f t="shared" ca="1" si="90"/>
        <v>#N/A</v>
      </c>
      <c r="N428" s="37" t="e">
        <f t="shared" ca="1" si="91"/>
        <v>#N/A</v>
      </c>
      <c r="P428" s="35" t="e">
        <f t="shared" ca="1" si="99"/>
        <v>#N/A</v>
      </c>
      <c r="Q428" s="59" t="e">
        <f t="shared" ca="1" si="93"/>
        <v>#N/A</v>
      </c>
      <c r="R428" s="44" t="e">
        <f t="shared" ca="1" si="94"/>
        <v>#N/A</v>
      </c>
      <c r="S428" s="37" t="e">
        <f ca="1">IF(P428="","",IF(P428="Total",SUM($S$19:S427),VLOOKUP($P428,$B$12:$L482,11,FALSE)))</f>
        <v>#N/A</v>
      </c>
      <c r="T428" s="44" t="e">
        <f ca="1">IF(payfreq="Annually",IF(P428="","",IF(P428="Total",SUM($T$19:T427),Adj_Rate*$R428)),IF(payfreq="Semiannually",IF(P428="","",IF(P428="Total",SUM($T$19:T427),Adj_Rate/2*$R428)),IF(payfreq="Quarterly",IF(P428="","",IF(P428="Total",SUM($T$19:T427),Adj_Rate/4*$R428)),IF(payfreq="Monthly",IF(P428="","",IF(P428="Total",SUM($T$19:T427),Adj_Rate/12*$R428)),""))))</f>
        <v>#N/A</v>
      </c>
      <c r="U428" s="37" t="e">
        <f t="shared" ca="1" si="95"/>
        <v>#N/A</v>
      </c>
      <c r="V428" s="44" t="e">
        <f t="shared" ca="1" si="96"/>
        <v>#N/A</v>
      </c>
    </row>
    <row r="429" spans="2:22">
      <c r="B429" s="38" t="e">
        <f t="shared" ca="1" si="97"/>
        <v>#N/A</v>
      </c>
      <c r="C429" s="77" t="e">
        <f t="shared" ca="1" si="98"/>
        <v>#N/A</v>
      </c>
      <c r="D429" s="78" t="e">
        <f ca="1">+IF(AND(B429&lt;$G$7),VLOOKUP($B$1,Inventory!$A$1:$BC$500,35,FALSE),IF(AND(B429=$G$7,pmt_timing="End"),VLOOKUP($B$1,Inventory!$A$1:$BC$500,35,FALSE),0))</f>
        <v>#N/A</v>
      </c>
      <c r="E429" s="78">
        <v>0</v>
      </c>
      <c r="F429" s="78">
        <v>0</v>
      </c>
      <c r="G429" s="78">
        <v>0</v>
      </c>
      <c r="H429" s="78">
        <v>0</v>
      </c>
      <c r="I429" s="78">
        <v>0</v>
      </c>
      <c r="J429" s="78">
        <v>0</v>
      </c>
      <c r="K429" s="78">
        <v>0</v>
      </c>
      <c r="L429" s="36" t="e">
        <f t="shared" ca="1" si="92"/>
        <v>#N/A</v>
      </c>
      <c r="M429" s="37" t="e">
        <f t="shared" ca="1" si="90"/>
        <v>#N/A</v>
      </c>
      <c r="N429" s="37" t="e">
        <f t="shared" ca="1" si="91"/>
        <v>#N/A</v>
      </c>
      <c r="P429" s="35" t="e">
        <f t="shared" ca="1" si="99"/>
        <v>#N/A</v>
      </c>
      <c r="Q429" s="59" t="e">
        <f t="shared" ca="1" si="93"/>
        <v>#N/A</v>
      </c>
      <c r="R429" s="44" t="e">
        <f t="shared" ca="1" si="94"/>
        <v>#N/A</v>
      </c>
      <c r="S429" s="37" t="e">
        <f ca="1">IF(P429="","",IF(P429="Total",SUM($S$19:S428),VLOOKUP($P429,$B$12:$L483,11,FALSE)))</f>
        <v>#N/A</v>
      </c>
      <c r="T429" s="44" t="e">
        <f ca="1">IF(payfreq="Annually",IF(P429="","",IF(P429="Total",SUM($T$19:T428),Adj_Rate*$R429)),IF(payfreq="Semiannually",IF(P429="","",IF(P429="Total",SUM($T$19:T428),Adj_Rate/2*$R429)),IF(payfreq="Quarterly",IF(P429="","",IF(P429="Total",SUM($T$19:T428),Adj_Rate/4*$R429)),IF(payfreq="Monthly",IF(P429="","",IF(P429="Total",SUM($T$19:T428),Adj_Rate/12*$R429)),""))))</f>
        <v>#N/A</v>
      </c>
      <c r="U429" s="37" t="e">
        <f t="shared" ca="1" si="95"/>
        <v>#N/A</v>
      </c>
      <c r="V429" s="44" t="e">
        <f t="shared" ca="1" si="96"/>
        <v>#N/A</v>
      </c>
    </row>
    <row r="430" spans="2:22">
      <c r="B430" s="38" t="e">
        <f t="shared" ca="1" si="97"/>
        <v>#N/A</v>
      </c>
      <c r="C430" s="77" t="e">
        <f t="shared" ca="1" si="98"/>
        <v>#N/A</v>
      </c>
      <c r="D430" s="78" t="e">
        <f ca="1">+IF(AND(B430&lt;$G$7),VLOOKUP($B$1,Inventory!$A$1:$BC$500,35,FALSE),IF(AND(B430=$G$7,pmt_timing="End"),VLOOKUP($B$1,Inventory!$A$1:$BC$500,35,FALSE),0))</f>
        <v>#N/A</v>
      </c>
      <c r="E430" s="78">
        <v>0</v>
      </c>
      <c r="F430" s="78">
        <v>0</v>
      </c>
      <c r="G430" s="78">
        <v>0</v>
      </c>
      <c r="H430" s="78">
        <v>0</v>
      </c>
      <c r="I430" s="78">
        <v>0</v>
      </c>
      <c r="J430" s="78">
        <v>0</v>
      </c>
      <c r="K430" s="78">
        <v>0</v>
      </c>
      <c r="L430" s="36" t="e">
        <f t="shared" ca="1" si="92"/>
        <v>#N/A</v>
      </c>
      <c r="M430" s="37" t="e">
        <f t="shared" ca="1" si="90"/>
        <v>#N/A</v>
      </c>
      <c r="N430" s="37" t="e">
        <f t="shared" ca="1" si="91"/>
        <v>#N/A</v>
      </c>
      <c r="P430" s="35" t="e">
        <f t="shared" ca="1" si="99"/>
        <v>#N/A</v>
      </c>
      <c r="Q430" s="59" t="e">
        <f t="shared" ca="1" si="93"/>
        <v>#N/A</v>
      </c>
      <c r="R430" s="44" t="e">
        <f t="shared" ca="1" si="94"/>
        <v>#N/A</v>
      </c>
      <c r="S430" s="37" t="e">
        <f ca="1">IF(P430="","",IF(P430="Total",SUM($S$19:S429),VLOOKUP($P430,$B$12:$L484,11,FALSE)))</f>
        <v>#N/A</v>
      </c>
      <c r="T430" s="44" t="e">
        <f ca="1">IF(payfreq="Annually",IF(P430="","",IF(P430="Total",SUM($T$19:T429),Adj_Rate*$R430)),IF(payfreq="Semiannually",IF(P430="","",IF(P430="Total",SUM($T$19:T429),Adj_Rate/2*$R430)),IF(payfreq="Quarterly",IF(P430="","",IF(P430="Total",SUM($T$19:T429),Adj_Rate/4*$R430)),IF(payfreq="Monthly",IF(P430="","",IF(P430="Total",SUM($T$19:T429),Adj_Rate/12*$R430)),""))))</f>
        <v>#N/A</v>
      </c>
      <c r="U430" s="37" t="e">
        <f t="shared" ca="1" si="95"/>
        <v>#N/A</v>
      </c>
      <c r="V430" s="44" t="e">
        <f t="shared" ca="1" si="96"/>
        <v>#N/A</v>
      </c>
    </row>
    <row r="431" spans="2:22">
      <c r="B431" s="38" t="e">
        <f t="shared" ca="1" si="97"/>
        <v>#N/A</v>
      </c>
      <c r="C431" s="77" t="e">
        <f t="shared" ca="1" si="98"/>
        <v>#N/A</v>
      </c>
      <c r="D431" s="78" t="e">
        <f ca="1">+IF(AND(B431&lt;$G$7),VLOOKUP($B$1,Inventory!$A$1:$BC$500,35,FALSE),IF(AND(B431=$G$7,pmt_timing="End"),VLOOKUP($B$1,Inventory!$A$1:$BC$500,35,FALSE),0))</f>
        <v>#N/A</v>
      </c>
      <c r="E431" s="78">
        <v>0</v>
      </c>
      <c r="F431" s="78">
        <v>0</v>
      </c>
      <c r="G431" s="78">
        <v>0</v>
      </c>
      <c r="H431" s="78">
        <v>0</v>
      </c>
      <c r="I431" s="78">
        <v>0</v>
      </c>
      <c r="J431" s="78">
        <v>0</v>
      </c>
      <c r="K431" s="78">
        <v>0</v>
      </c>
      <c r="L431" s="36" t="e">
        <f t="shared" ca="1" si="92"/>
        <v>#N/A</v>
      </c>
      <c r="M431" s="37" t="e">
        <f t="shared" ca="1" si="90"/>
        <v>#N/A</v>
      </c>
      <c r="N431" s="37" t="e">
        <f t="shared" ca="1" si="91"/>
        <v>#N/A</v>
      </c>
      <c r="P431" s="35" t="e">
        <f t="shared" ca="1" si="99"/>
        <v>#N/A</v>
      </c>
      <c r="Q431" s="59" t="e">
        <f t="shared" ca="1" si="93"/>
        <v>#N/A</v>
      </c>
      <c r="R431" s="44" t="e">
        <f t="shared" ca="1" si="94"/>
        <v>#N/A</v>
      </c>
      <c r="S431" s="37" t="e">
        <f ca="1">IF(P431="","",IF(P431="Total",SUM($S$19:S430),VLOOKUP($P431,$B$12:$L485,11,FALSE)))</f>
        <v>#N/A</v>
      </c>
      <c r="T431" s="44" t="e">
        <f ca="1">IF(payfreq="Annually",IF(P431="","",IF(P431="Total",SUM($T$19:T430),Adj_Rate*$R431)),IF(payfreq="Semiannually",IF(P431="","",IF(P431="Total",SUM($T$19:T430),Adj_Rate/2*$R431)),IF(payfreq="Quarterly",IF(P431="","",IF(P431="Total",SUM($T$19:T430),Adj_Rate/4*$R431)),IF(payfreq="Monthly",IF(P431="","",IF(P431="Total",SUM($T$19:T430),Adj_Rate/12*$R431)),""))))</f>
        <v>#N/A</v>
      </c>
      <c r="U431" s="37" t="e">
        <f t="shared" ca="1" si="95"/>
        <v>#N/A</v>
      </c>
      <c r="V431" s="44" t="e">
        <f t="shared" ca="1" si="96"/>
        <v>#N/A</v>
      </c>
    </row>
    <row r="432" spans="2:22">
      <c r="B432" s="38" t="e">
        <f t="shared" ca="1" si="97"/>
        <v>#N/A</v>
      </c>
      <c r="C432" s="77" t="e">
        <f t="shared" ca="1" si="98"/>
        <v>#N/A</v>
      </c>
      <c r="D432" s="78" t="e">
        <f ca="1">+IF(AND(B432&lt;$G$7),VLOOKUP($B$1,Inventory!$A$1:$BC$500,35,FALSE),IF(AND(B432=$G$7,pmt_timing="End"),VLOOKUP($B$1,Inventory!$A$1:$BC$500,35,FALSE),0))</f>
        <v>#N/A</v>
      </c>
      <c r="E432" s="78">
        <v>0</v>
      </c>
      <c r="F432" s="78">
        <v>0</v>
      </c>
      <c r="G432" s="78">
        <v>0</v>
      </c>
      <c r="H432" s="78">
        <v>0</v>
      </c>
      <c r="I432" s="78">
        <v>0</v>
      </c>
      <c r="J432" s="78">
        <v>0</v>
      </c>
      <c r="K432" s="78">
        <v>0</v>
      </c>
      <c r="L432" s="36" t="e">
        <f t="shared" ca="1" si="92"/>
        <v>#N/A</v>
      </c>
      <c r="M432" s="37" t="e">
        <f t="shared" ca="1" si="90"/>
        <v>#N/A</v>
      </c>
      <c r="N432" s="37" t="e">
        <f t="shared" ca="1" si="91"/>
        <v>#N/A</v>
      </c>
      <c r="P432" s="35" t="e">
        <f t="shared" ca="1" si="99"/>
        <v>#N/A</v>
      </c>
      <c r="Q432" s="59" t="e">
        <f t="shared" ca="1" si="93"/>
        <v>#N/A</v>
      </c>
      <c r="R432" s="44" t="e">
        <f t="shared" ca="1" si="94"/>
        <v>#N/A</v>
      </c>
      <c r="S432" s="37" t="e">
        <f ca="1">IF(P432="","",IF(P432="Total",SUM($S$19:S431),VLOOKUP($P432,$B$12:$L486,11,FALSE)))</f>
        <v>#N/A</v>
      </c>
      <c r="T432" s="44" t="e">
        <f ca="1">IF(payfreq="Annually",IF(P432="","",IF(P432="Total",SUM($T$19:T431),Adj_Rate*$R432)),IF(payfreq="Semiannually",IF(P432="","",IF(P432="Total",SUM($T$19:T431),Adj_Rate/2*$R432)),IF(payfreq="Quarterly",IF(P432="","",IF(P432="Total",SUM($T$19:T431),Adj_Rate/4*$R432)),IF(payfreq="Monthly",IF(P432="","",IF(P432="Total",SUM($T$19:T431),Adj_Rate/12*$R432)),""))))</f>
        <v>#N/A</v>
      </c>
      <c r="U432" s="37" t="e">
        <f t="shared" ca="1" si="95"/>
        <v>#N/A</v>
      </c>
      <c r="V432" s="44" t="e">
        <f t="shared" ca="1" si="96"/>
        <v>#N/A</v>
      </c>
    </row>
    <row r="433" spans="2:22">
      <c r="B433" s="38" t="e">
        <f t="shared" ca="1" si="97"/>
        <v>#N/A</v>
      </c>
      <c r="C433" s="77" t="e">
        <f t="shared" ca="1" si="98"/>
        <v>#N/A</v>
      </c>
      <c r="D433" s="78" t="e">
        <f ca="1">+IF(AND(B433&lt;$G$7),VLOOKUP($B$1,Inventory!$A$1:$BC$500,35,FALSE),IF(AND(B433=$G$7,pmt_timing="End"),VLOOKUP($B$1,Inventory!$A$1:$BC$500,35,FALSE),0))</f>
        <v>#N/A</v>
      </c>
      <c r="E433" s="78">
        <v>0</v>
      </c>
      <c r="F433" s="78">
        <v>0</v>
      </c>
      <c r="G433" s="78">
        <v>0</v>
      </c>
      <c r="H433" s="78">
        <v>0</v>
      </c>
      <c r="I433" s="78">
        <v>0</v>
      </c>
      <c r="J433" s="78">
        <v>0</v>
      </c>
      <c r="K433" s="78">
        <v>0</v>
      </c>
      <c r="L433" s="36" t="e">
        <f t="shared" ca="1" si="92"/>
        <v>#N/A</v>
      </c>
      <c r="M433" s="37" t="e">
        <f t="shared" ca="1" si="90"/>
        <v>#N/A</v>
      </c>
      <c r="N433" s="37" t="e">
        <f t="shared" ca="1" si="91"/>
        <v>#N/A</v>
      </c>
      <c r="P433" s="35" t="e">
        <f t="shared" ca="1" si="99"/>
        <v>#N/A</v>
      </c>
      <c r="Q433" s="59" t="e">
        <f t="shared" ca="1" si="93"/>
        <v>#N/A</v>
      </c>
      <c r="R433" s="44" t="e">
        <f t="shared" ca="1" si="94"/>
        <v>#N/A</v>
      </c>
      <c r="S433" s="37" t="e">
        <f ca="1">IF(P433="","",IF(P433="Total",SUM($S$19:S432),VLOOKUP($P433,$B$12:$L487,11,FALSE)))</f>
        <v>#N/A</v>
      </c>
      <c r="T433" s="44" t="e">
        <f ca="1">IF(payfreq="Annually",IF(P433="","",IF(P433="Total",SUM($T$19:T432),Adj_Rate*$R433)),IF(payfreq="Semiannually",IF(P433="","",IF(P433="Total",SUM($T$19:T432),Adj_Rate/2*$R433)),IF(payfreq="Quarterly",IF(P433="","",IF(P433="Total",SUM($T$19:T432),Adj_Rate/4*$R433)),IF(payfreq="Monthly",IF(P433="","",IF(P433="Total",SUM($T$19:T432),Adj_Rate/12*$R433)),""))))</f>
        <v>#N/A</v>
      </c>
      <c r="U433" s="37" t="e">
        <f t="shared" ca="1" si="95"/>
        <v>#N/A</v>
      </c>
      <c r="V433" s="44" t="e">
        <f t="shared" ca="1" si="96"/>
        <v>#N/A</v>
      </c>
    </row>
    <row r="434" spans="2:22">
      <c r="B434" s="38" t="e">
        <f t="shared" ca="1" si="97"/>
        <v>#N/A</v>
      </c>
      <c r="C434" s="77" t="e">
        <f t="shared" ca="1" si="98"/>
        <v>#N/A</v>
      </c>
      <c r="D434" s="78" t="e">
        <f ca="1">+IF(AND(B434&lt;$G$7),VLOOKUP($B$1,Inventory!$A$1:$BC$500,35,FALSE),IF(AND(B434=$G$7,pmt_timing="End"),VLOOKUP($B$1,Inventory!$A$1:$BC$500,35,FALSE),0))</f>
        <v>#N/A</v>
      </c>
      <c r="E434" s="78">
        <v>0</v>
      </c>
      <c r="F434" s="78">
        <v>0</v>
      </c>
      <c r="G434" s="78">
        <v>0</v>
      </c>
      <c r="H434" s="78">
        <v>0</v>
      </c>
      <c r="I434" s="78">
        <v>0</v>
      </c>
      <c r="J434" s="78">
        <v>0</v>
      </c>
      <c r="K434" s="78">
        <v>0</v>
      </c>
      <c r="L434" s="36" t="e">
        <f t="shared" ca="1" si="92"/>
        <v>#N/A</v>
      </c>
      <c r="M434" s="37" t="e">
        <f t="shared" ca="1" si="90"/>
        <v>#N/A</v>
      </c>
      <c r="N434" s="37" t="e">
        <f t="shared" ca="1" si="91"/>
        <v>#N/A</v>
      </c>
      <c r="P434" s="35" t="e">
        <f t="shared" ca="1" si="99"/>
        <v>#N/A</v>
      </c>
      <c r="Q434" s="59" t="e">
        <f t="shared" ca="1" si="93"/>
        <v>#N/A</v>
      </c>
      <c r="R434" s="44" t="e">
        <f t="shared" ca="1" si="94"/>
        <v>#N/A</v>
      </c>
      <c r="S434" s="37" t="e">
        <f ca="1">IF(P434="","",IF(P434="Total",SUM($S$19:S433),VLOOKUP($P434,$B$12:$L488,11,FALSE)))</f>
        <v>#N/A</v>
      </c>
      <c r="T434" s="44" t="e">
        <f ca="1">IF(payfreq="Annually",IF(P434="","",IF(P434="Total",SUM($T$19:T433),Adj_Rate*$R434)),IF(payfreq="Semiannually",IF(P434="","",IF(P434="Total",SUM($T$19:T433),Adj_Rate/2*$R434)),IF(payfreq="Quarterly",IF(P434="","",IF(P434="Total",SUM($T$19:T433),Adj_Rate/4*$R434)),IF(payfreq="Monthly",IF(P434="","",IF(P434="Total",SUM($T$19:T433),Adj_Rate/12*$R434)),""))))</f>
        <v>#N/A</v>
      </c>
      <c r="U434" s="37" t="e">
        <f t="shared" ca="1" si="95"/>
        <v>#N/A</v>
      </c>
      <c r="V434" s="44" t="e">
        <f t="shared" ca="1" si="96"/>
        <v>#N/A</v>
      </c>
    </row>
    <row r="435" spans="2:22">
      <c r="B435" s="38" t="e">
        <f t="shared" ca="1" si="97"/>
        <v>#N/A</v>
      </c>
      <c r="C435" s="77" t="e">
        <f t="shared" ca="1" si="98"/>
        <v>#N/A</v>
      </c>
      <c r="D435" s="78" t="e">
        <f ca="1">+IF(AND(B435&lt;$G$7),VLOOKUP($B$1,Inventory!$A$1:$BC$500,35,FALSE),IF(AND(B435=$G$7,pmt_timing="End"),VLOOKUP($B$1,Inventory!$A$1:$BC$500,35,FALSE),0))</f>
        <v>#N/A</v>
      </c>
      <c r="E435" s="78">
        <v>0</v>
      </c>
      <c r="F435" s="78">
        <v>0</v>
      </c>
      <c r="G435" s="78">
        <v>0</v>
      </c>
      <c r="H435" s="78">
        <v>0</v>
      </c>
      <c r="I435" s="78">
        <v>0</v>
      </c>
      <c r="J435" s="78">
        <v>0</v>
      </c>
      <c r="K435" s="78">
        <v>0</v>
      </c>
      <c r="L435" s="36" t="e">
        <f t="shared" ca="1" si="92"/>
        <v>#N/A</v>
      </c>
      <c r="M435" s="37" t="e">
        <f t="shared" ca="1" si="90"/>
        <v>#N/A</v>
      </c>
      <c r="N435" s="37" t="e">
        <f t="shared" ca="1" si="91"/>
        <v>#N/A</v>
      </c>
      <c r="P435" s="35" t="e">
        <f t="shared" ca="1" si="99"/>
        <v>#N/A</v>
      </c>
      <c r="Q435" s="59" t="e">
        <f t="shared" ca="1" si="93"/>
        <v>#N/A</v>
      </c>
      <c r="R435" s="44" t="e">
        <f t="shared" ca="1" si="94"/>
        <v>#N/A</v>
      </c>
      <c r="S435" s="37" t="e">
        <f ca="1">IF(P435="","",IF(P435="Total",SUM($S$19:S434),VLOOKUP($P435,$B$12:$L489,11,FALSE)))</f>
        <v>#N/A</v>
      </c>
      <c r="T435" s="44" t="e">
        <f ca="1">IF(payfreq="Annually",IF(P435="","",IF(P435="Total",SUM($T$19:T434),Adj_Rate*$R435)),IF(payfreq="Semiannually",IF(P435="","",IF(P435="Total",SUM($T$19:T434),Adj_Rate/2*$R435)),IF(payfreq="Quarterly",IF(P435="","",IF(P435="Total",SUM($T$19:T434),Adj_Rate/4*$R435)),IF(payfreq="Monthly",IF(P435="","",IF(P435="Total",SUM($T$19:T434),Adj_Rate/12*$R435)),""))))</f>
        <v>#N/A</v>
      </c>
      <c r="U435" s="37" t="e">
        <f t="shared" ca="1" si="95"/>
        <v>#N/A</v>
      </c>
      <c r="V435" s="44" t="e">
        <f t="shared" ca="1" si="96"/>
        <v>#N/A</v>
      </c>
    </row>
    <row r="436" spans="2:22">
      <c r="B436" s="38" t="e">
        <f t="shared" ca="1" si="97"/>
        <v>#N/A</v>
      </c>
      <c r="C436" s="77" t="e">
        <f t="shared" ca="1" si="98"/>
        <v>#N/A</v>
      </c>
      <c r="D436" s="78" t="e">
        <f ca="1">+IF(AND(B436&lt;$G$7),VLOOKUP($B$1,Inventory!$A$1:$BC$500,35,FALSE),IF(AND(B436=$G$7,pmt_timing="End"),VLOOKUP($B$1,Inventory!$A$1:$BC$500,35,FALSE),0))</f>
        <v>#N/A</v>
      </c>
      <c r="E436" s="78">
        <v>0</v>
      </c>
      <c r="F436" s="78">
        <v>0</v>
      </c>
      <c r="G436" s="78">
        <v>0</v>
      </c>
      <c r="H436" s="78">
        <v>0</v>
      </c>
      <c r="I436" s="78">
        <v>0</v>
      </c>
      <c r="J436" s="78">
        <v>0</v>
      </c>
      <c r="K436" s="78">
        <v>0</v>
      </c>
      <c r="L436" s="36" t="e">
        <f t="shared" ca="1" si="92"/>
        <v>#N/A</v>
      </c>
      <c r="M436" s="37" t="e">
        <f t="shared" ca="1" si="90"/>
        <v>#N/A</v>
      </c>
      <c r="N436" s="37" t="e">
        <f t="shared" ca="1" si="91"/>
        <v>#N/A</v>
      </c>
      <c r="P436" s="35" t="e">
        <f t="shared" ca="1" si="99"/>
        <v>#N/A</v>
      </c>
      <c r="Q436" s="59" t="e">
        <f t="shared" ca="1" si="93"/>
        <v>#N/A</v>
      </c>
      <c r="R436" s="44" t="e">
        <f t="shared" ca="1" si="94"/>
        <v>#N/A</v>
      </c>
      <c r="S436" s="37" t="e">
        <f ca="1">IF(P436="","",IF(P436="Total",SUM($S$19:S435),VLOOKUP($P436,$B$12:$L490,11,FALSE)))</f>
        <v>#N/A</v>
      </c>
      <c r="T436" s="44" t="e">
        <f ca="1">IF(payfreq="Annually",IF(P436="","",IF(P436="Total",SUM($T$19:T435),Adj_Rate*$R436)),IF(payfreq="Semiannually",IF(P436="","",IF(P436="Total",SUM($T$19:T435),Adj_Rate/2*$R436)),IF(payfreq="Quarterly",IF(P436="","",IF(P436="Total",SUM($T$19:T435),Adj_Rate/4*$R436)),IF(payfreq="Monthly",IF(P436="","",IF(P436="Total",SUM($T$19:T435),Adj_Rate/12*$R436)),""))))</f>
        <v>#N/A</v>
      </c>
      <c r="U436" s="37" t="e">
        <f t="shared" ca="1" si="95"/>
        <v>#N/A</v>
      </c>
      <c r="V436" s="44" t="e">
        <f t="shared" ca="1" si="96"/>
        <v>#N/A</v>
      </c>
    </row>
    <row r="437" spans="2:22">
      <c r="B437" s="38" t="e">
        <f t="shared" ca="1" si="97"/>
        <v>#N/A</v>
      </c>
      <c r="C437" s="77" t="e">
        <f t="shared" ca="1" si="98"/>
        <v>#N/A</v>
      </c>
      <c r="D437" s="78" t="e">
        <f ca="1">+IF(AND(B437&lt;$G$7),VLOOKUP($B$1,Inventory!$A$1:$BC$500,35,FALSE),IF(AND(B437=$G$7,pmt_timing="End"),VLOOKUP($B$1,Inventory!$A$1:$BC$500,35,FALSE),0))</f>
        <v>#N/A</v>
      </c>
      <c r="E437" s="78">
        <v>0</v>
      </c>
      <c r="F437" s="78">
        <v>0</v>
      </c>
      <c r="G437" s="78">
        <v>0</v>
      </c>
      <c r="H437" s="78">
        <v>0</v>
      </c>
      <c r="I437" s="78">
        <v>0</v>
      </c>
      <c r="J437" s="78">
        <v>0</v>
      </c>
      <c r="K437" s="78">
        <v>0</v>
      </c>
      <c r="L437" s="36" t="e">
        <f t="shared" ca="1" si="92"/>
        <v>#N/A</v>
      </c>
      <c r="M437" s="37" t="e">
        <f t="shared" ca="1" si="90"/>
        <v>#N/A</v>
      </c>
      <c r="N437" s="37" t="e">
        <f t="shared" ca="1" si="91"/>
        <v>#N/A</v>
      </c>
      <c r="P437" s="35" t="e">
        <f t="shared" ca="1" si="99"/>
        <v>#N/A</v>
      </c>
      <c r="Q437" s="59" t="e">
        <f t="shared" ca="1" si="93"/>
        <v>#N/A</v>
      </c>
      <c r="R437" s="44" t="e">
        <f t="shared" ca="1" si="94"/>
        <v>#N/A</v>
      </c>
      <c r="S437" s="37" t="e">
        <f ca="1">IF(P437="","",IF(P437="Total",SUM($S$19:S436),VLOOKUP($P437,$B$12:$L491,11,FALSE)))</f>
        <v>#N/A</v>
      </c>
      <c r="T437" s="44" t="e">
        <f ca="1">IF(payfreq="Annually",IF(P437="","",IF(P437="Total",SUM($T$19:T436),Adj_Rate*$R437)),IF(payfreq="Semiannually",IF(P437="","",IF(P437="Total",SUM($T$19:T436),Adj_Rate/2*$R437)),IF(payfreq="Quarterly",IF(P437="","",IF(P437="Total",SUM($T$19:T436),Adj_Rate/4*$R437)),IF(payfreq="Monthly",IF(P437="","",IF(P437="Total",SUM($T$19:T436),Adj_Rate/12*$R437)),""))))</f>
        <v>#N/A</v>
      </c>
      <c r="U437" s="37" t="e">
        <f t="shared" ca="1" si="95"/>
        <v>#N/A</v>
      </c>
      <c r="V437" s="44" t="e">
        <f t="shared" ca="1" si="96"/>
        <v>#N/A</v>
      </c>
    </row>
    <row r="438" spans="2:22">
      <c r="B438" s="38" t="e">
        <f t="shared" ca="1" si="97"/>
        <v>#N/A</v>
      </c>
      <c r="C438" s="77" t="e">
        <f t="shared" ca="1" si="98"/>
        <v>#N/A</v>
      </c>
      <c r="D438" s="78" t="e">
        <f ca="1">+IF(AND(B438&lt;$G$7),VLOOKUP($B$1,Inventory!$A$1:$BC$500,35,FALSE),IF(AND(B438=$G$7,pmt_timing="End"),VLOOKUP($B$1,Inventory!$A$1:$BC$500,35,FALSE),0))</f>
        <v>#N/A</v>
      </c>
      <c r="E438" s="78">
        <v>0</v>
      </c>
      <c r="F438" s="78">
        <v>0</v>
      </c>
      <c r="G438" s="78">
        <v>0</v>
      </c>
      <c r="H438" s="78">
        <v>0</v>
      </c>
      <c r="I438" s="78">
        <v>0</v>
      </c>
      <c r="J438" s="78">
        <v>0</v>
      </c>
      <c r="K438" s="78">
        <v>0</v>
      </c>
      <c r="L438" s="36" t="e">
        <f t="shared" ca="1" si="92"/>
        <v>#N/A</v>
      </c>
      <c r="M438" s="37" t="e">
        <f t="shared" ca="1" si="90"/>
        <v>#N/A</v>
      </c>
      <c r="N438" s="37" t="e">
        <f t="shared" ca="1" si="91"/>
        <v>#N/A</v>
      </c>
      <c r="P438" s="35" t="e">
        <f t="shared" ca="1" si="99"/>
        <v>#N/A</v>
      </c>
      <c r="Q438" s="59" t="e">
        <f t="shared" ca="1" si="93"/>
        <v>#N/A</v>
      </c>
      <c r="R438" s="44" t="e">
        <f t="shared" ca="1" si="94"/>
        <v>#N/A</v>
      </c>
      <c r="S438" s="37" t="e">
        <f ca="1">IF(P438="","",IF(P438="Total",SUM($S$19:S437),VLOOKUP($P438,$B$12:$L492,11,FALSE)))</f>
        <v>#N/A</v>
      </c>
      <c r="T438" s="44" t="e">
        <f ca="1">IF(payfreq="Annually",IF(P438="","",IF(P438="Total",SUM($T$19:T437),Adj_Rate*$R438)),IF(payfreq="Semiannually",IF(P438="","",IF(P438="Total",SUM($T$19:T437),Adj_Rate/2*$R438)),IF(payfreq="Quarterly",IF(P438="","",IF(P438="Total",SUM($T$19:T437),Adj_Rate/4*$R438)),IF(payfreq="Monthly",IF(P438="","",IF(P438="Total",SUM($T$19:T437),Adj_Rate/12*$R438)),""))))</f>
        <v>#N/A</v>
      </c>
      <c r="U438" s="37" t="e">
        <f t="shared" ca="1" si="95"/>
        <v>#N/A</v>
      </c>
      <c r="V438" s="44" t="e">
        <f t="shared" ca="1" si="96"/>
        <v>#N/A</v>
      </c>
    </row>
    <row r="439" spans="2:22">
      <c r="B439" s="38" t="e">
        <f t="shared" ca="1" si="97"/>
        <v>#N/A</v>
      </c>
      <c r="C439" s="77" t="e">
        <f t="shared" ca="1" si="98"/>
        <v>#N/A</v>
      </c>
      <c r="D439" s="78" t="e">
        <f ca="1">+IF(AND(B439&lt;$G$7),VLOOKUP($B$1,Inventory!$A$1:$BC$500,35,FALSE),IF(AND(B439=$G$7,pmt_timing="End"),VLOOKUP($B$1,Inventory!$A$1:$BC$500,35,FALSE),0))</f>
        <v>#N/A</v>
      </c>
      <c r="E439" s="78">
        <v>0</v>
      </c>
      <c r="F439" s="78">
        <v>0</v>
      </c>
      <c r="G439" s="78">
        <v>0</v>
      </c>
      <c r="H439" s="78">
        <v>0</v>
      </c>
      <c r="I439" s="78">
        <v>0</v>
      </c>
      <c r="J439" s="78">
        <v>0</v>
      </c>
      <c r="K439" s="78">
        <v>0</v>
      </c>
      <c r="L439" s="36" t="e">
        <f t="shared" ca="1" si="92"/>
        <v>#N/A</v>
      </c>
      <c r="M439" s="37" t="e">
        <f t="shared" ca="1" si="90"/>
        <v>#N/A</v>
      </c>
      <c r="N439" s="37" t="e">
        <f t="shared" ca="1" si="91"/>
        <v>#N/A</v>
      </c>
      <c r="P439" s="35" t="e">
        <f t="shared" ca="1" si="99"/>
        <v>#N/A</v>
      </c>
      <c r="Q439" s="59" t="e">
        <f t="shared" ca="1" si="93"/>
        <v>#N/A</v>
      </c>
      <c r="R439" s="44" t="e">
        <f t="shared" ca="1" si="94"/>
        <v>#N/A</v>
      </c>
      <c r="S439" s="37" t="e">
        <f ca="1">IF(P439="","",IF(P439="Total",SUM($S$19:S438),VLOOKUP($P439,$B$12:$L493,11,FALSE)))</f>
        <v>#N/A</v>
      </c>
      <c r="T439" s="44" t="e">
        <f ca="1">IF(payfreq="Annually",IF(P439="","",IF(P439="Total",SUM($T$19:T438),Adj_Rate*$R439)),IF(payfreq="Semiannually",IF(P439="","",IF(P439="Total",SUM($T$19:T438),Adj_Rate/2*$R439)),IF(payfreq="Quarterly",IF(P439="","",IF(P439="Total",SUM($T$19:T438),Adj_Rate/4*$R439)),IF(payfreq="Monthly",IF(P439="","",IF(P439="Total",SUM($T$19:T438),Adj_Rate/12*$R439)),""))))</f>
        <v>#N/A</v>
      </c>
      <c r="U439" s="37" t="e">
        <f t="shared" ca="1" si="95"/>
        <v>#N/A</v>
      </c>
      <c r="V439" s="44" t="e">
        <f t="shared" ca="1" si="96"/>
        <v>#N/A</v>
      </c>
    </row>
    <row r="440" spans="2:22">
      <c r="B440" s="38" t="e">
        <f t="shared" ca="1" si="97"/>
        <v>#N/A</v>
      </c>
      <c r="C440" s="77" t="e">
        <f t="shared" ca="1" si="98"/>
        <v>#N/A</v>
      </c>
      <c r="D440" s="78" t="e">
        <f ca="1">+IF(AND(B440&lt;$G$7),VLOOKUP($B$1,Inventory!$A$1:$BC$500,35,FALSE),IF(AND(B440=$G$7,pmt_timing="End"),VLOOKUP($B$1,Inventory!$A$1:$BC$500,35,FALSE),0))</f>
        <v>#N/A</v>
      </c>
      <c r="E440" s="78">
        <v>0</v>
      </c>
      <c r="F440" s="78">
        <v>0</v>
      </c>
      <c r="G440" s="78">
        <v>0</v>
      </c>
      <c r="H440" s="78">
        <v>0</v>
      </c>
      <c r="I440" s="78">
        <v>0</v>
      </c>
      <c r="J440" s="78">
        <v>0</v>
      </c>
      <c r="K440" s="78">
        <v>0</v>
      </c>
      <c r="L440" s="36" t="e">
        <f t="shared" ca="1" si="92"/>
        <v>#N/A</v>
      </c>
      <c r="M440" s="37" t="e">
        <f t="shared" ca="1" si="90"/>
        <v>#N/A</v>
      </c>
      <c r="N440" s="37" t="e">
        <f t="shared" ca="1" si="91"/>
        <v>#N/A</v>
      </c>
      <c r="P440" s="35" t="e">
        <f t="shared" ca="1" si="99"/>
        <v>#N/A</v>
      </c>
      <c r="Q440" s="59" t="e">
        <f t="shared" ca="1" si="93"/>
        <v>#N/A</v>
      </c>
      <c r="R440" s="44" t="e">
        <f t="shared" ca="1" si="94"/>
        <v>#N/A</v>
      </c>
      <c r="S440" s="37" t="e">
        <f ca="1">IF(P440="","",IF(P440="Total",SUM($S$19:S439),VLOOKUP($P440,$B$12:$L494,11,FALSE)))</f>
        <v>#N/A</v>
      </c>
      <c r="T440" s="44" t="e">
        <f ca="1">IF(payfreq="Annually",IF(P440="","",IF(P440="Total",SUM($T$19:T439),Adj_Rate*$R440)),IF(payfreq="Semiannually",IF(P440="","",IF(P440="Total",SUM($T$19:T439),Adj_Rate/2*$R440)),IF(payfreq="Quarterly",IF(P440="","",IF(P440="Total",SUM($T$19:T439),Adj_Rate/4*$R440)),IF(payfreq="Monthly",IF(P440="","",IF(P440="Total",SUM($T$19:T439),Adj_Rate/12*$R440)),""))))</f>
        <v>#N/A</v>
      </c>
      <c r="U440" s="37" t="e">
        <f t="shared" ca="1" si="95"/>
        <v>#N/A</v>
      </c>
      <c r="V440" s="44" t="e">
        <f t="shared" ca="1" si="96"/>
        <v>#N/A</v>
      </c>
    </row>
    <row r="441" spans="2:22">
      <c r="B441" s="38" t="e">
        <f t="shared" ca="1" si="97"/>
        <v>#N/A</v>
      </c>
      <c r="C441" s="77" t="e">
        <f t="shared" ca="1" si="98"/>
        <v>#N/A</v>
      </c>
      <c r="D441" s="78" t="e">
        <f ca="1">+IF(AND(B441&lt;$G$7),VLOOKUP($B$1,Inventory!$A$1:$BC$500,35,FALSE),IF(AND(B441=$G$7,pmt_timing="End"),VLOOKUP($B$1,Inventory!$A$1:$BC$500,35,FALSE),0))</f>
        <v>#N/A</v>
      </c>
      <c r="E441" s="78">
        <v>0</v>
      </c>
      <c r="F441" s="78">
        <v>0</v>
      </c>
      <c r="G441" s="78">
        <v>0</v>
      </c>
      <c r="H441" s="78">
        <v>0</v>
      </c>
      <c r="I441" s="78">
        <v>0</v>
      </c>
      <c r="J441" s="78">
        <v>0</v>
      </c>
      <c r="K441" s="78">
        <v>0</v>
      </c>
      <c r="L441" s="36" t="e">
        <f t="shared" ca="1" si="92"/>
        <v>#N/A</v>
      </c>
      <c r="M441" s="37" t="e">
        <f t="shared" ca="1" si="90"/>
        <v>#N/A</v>
      </c>
      <c r="N441" s="37" t="e">
        <f t="shared" ca="1" si="91"/>
        <v>#N/A</v>
      </c>
      <c r="P441" s="35" t="e">
        <f t="shared" ca="1" si="99"/>
        <v>#N/A</v>
      </c>
      <c r="Q441" s="59" t="e">
        <f t="shared" ca="1" si="93"/>
        <v>#N/A</v>
      </c>
      <c r="R441" s="44" t="e">
        <f t="shared" ca="1" si="94"/>
        <v>#N/A</v>
      </c>
      <c r="S441" s="37" t="e">
        <f ca="1">IF(P441="","",IF(P441="Total",SUM($S$19:S440),VLOOKUP($P441,$B$12:$L495,11,FALSE)))</f>
        <v>#N/A</v>
      </c>
      <c r="T441" s="44" t="e">
        <f ca="1">IF(payfreq="Annually",IF(P441="","",IF(P441="Total",SUM($T$19:T440),Adj_Rate*$R441)),IF(payfreq="Semiannually",IF(P441="","",IF(P441="Total",SUM($T$19:T440),Adj_Rate/2*$R441)),IF(payfreq="Quarterly",IF(P441="","",IF(P441="Total",SUM($T$19:T440),Adj_Rate/4*$R441)),IF(payfreq="Monthly",IF(P441="","",IF(P441="Total",SUM($T$19:T440),Adj_Rate/12*$R441)),""))))</f>
        <v>#N/A</v>
      </c>
      <c r="U441" s="37" t="e">
        <f t="shared" ca="1" si="95"/>
        <v>#N/A</v>
      </c>
      <c r="V441" s="44" t="e">
        <f t="shared" ca="1" si="96"/>
        <v>#N/A</v>
      </c>
    </row>
    <row r="442" spans="2:22">
      <c r="B442" s="38" t="e">
        <f t="shared" ca="1" si="97"/>
        <v>#N/A</v>
      </c>
      <c r="C442" s="77" t="e">
        <f t="shared" ca="1" si="98"/>
        <v>#N/A</v>
      </c>
      <c r="D442" s="78" t="e">
        <f ca="1">+IF(AND(B442&lt;$G$7),VLOOKUP($B$1,Inventory!$A$1:$BC$500,35,FALSE),IF(AND(B442=$G$7,pmt_timing="End"),VLOOKUP($B$1,Inventory!$A$1:$BC$500,35,FALSE),0))</f>
        <v>#N/A</v>
      </c>
      <c r="E442" s="78">
        <v>0</v>
      </c>
      <c r="F442" s="78">
        <v>0</v>
      </c>
      <c r="G442" s="78">
        <v>0</v>
      </c>
      <c r="H442" s="78">
        <v>0</v>
      </c>
      <c r="I442" s="78">
        <v>0</v>
      </c>
      <c r="J442" s="78">
        <v>0</v>
      </c>
      <c r="K442" s="78">
        <v>0</v>
      </c>
      <c r="L442" s="36" t="e">
        <f t="shared" ca="1" si="92"/>
        <v>#N/A</v>
      </c>
      <c r="M442" s="37" t="e">
        <f t="shared" ca="1" si="90"/>
        <v>#N/A</v>
      </c>
      <c r="N442" s="37" t="e">
        <f t="shared" ca="1" si="91"/>
        <v>#N/A</v>
      </c>
      <c r="P442" s="35" t="e">
        <f t="shared" ca="1" si="99"/>
        <v>#N/A</v>
      </c>
      <c r="Q442" s="59" t="e">
        <f t="shared" ca="1" si="93"/>
        <v>#N/A</v>
      </c>
      <c r="R442" s="44" t="e">
        <f t="shared" ca="1" si="94"/>
        <v>#N/A</v>
      </c>
      <c r="S442" s="37" t="e">
        <f ca="1">IF(P442="","",IF(P442="Total",SUM($S$19:S441),VLOOKUP($P442,$B$12:$L496,11,FALSE)))</f>
        <v>#N/A</v>
      </c>
      <c r="T442" s="44" t="e">
        <f ca="1">IF(payfreq="Annually",IF(P442="","",IF(P442="Total",SUM($T$19:T441),Adj_Rate*$R442)),IF(payfreq="Semiannually",IF(P442="","",IF(P442="Total",SUM($T$19:T441),Adj_Rate/2*$R442)),IF(payfreq="Quarterly",IF(P442="","",IF(P442="Total",SUM($T$19:T441),Adj_Rate/4*$R442)),IF(payfreq="Monthly",IF(P442="","",IF(P442="Total",SUM($T$19:T441),Adj_Rate/12*$R442)),""))))</f>
        <v>#N/A</v>
      </c>
      <c r="U442" s="37" t="e">
        <f t="shared" ca="1" si="95"/>
        <v>#N/A</v>
      </c>
      <c r="V442" s="44" t="e">
        <f t="shared" ca="1" si="96"/>
        <v>#N/A</v>
      </c>
    </row>
    <row r="443" spans="2:22">
      <c r="B443" s="38" t="e">
        <f t="shared" ca="1" si="97"/>
        <v>#N/A</v>
      </c>
      <c r="C443" s="77" t="e">
        <f t="shared" ca="1" si="98"/>
        <v>#N/A</v>
      </c>
      <c r="D443" s="78" t="e">
        <f ca="1">+IF(AND(B443&lt;$G$7),VLOOKUP($B$1,Inventory!$A$1:$BC$500,35,FALSE),IF(AND(B443=$G$7,pmt_timing="End"),VLOOKUP($B$1,Inventory!$A$1:$BC$500,35,FALSE),0))</f>
        <v>#N/A</v>
      </c>
      <c r="E443" s="78">
        <v>0</v>
      </c>
      <c r="F443" s="78">
        <v>0</v>
      </c>
      <c r="G443" s="78">
        <v>0</v>
      </c>
      <c r="H443" s="78">
        <v>0</v>
      </c>
      <c r="I443" s="78">
        <v>0</v>
      </c>
      <c r="J443" s="78">
        <v>0</v>
      </c>
      <c r="K443" s="78">
        <v>0</v>
      </c>
      <c r="L443" s="36" t="e">
        <f t="shared" ca="1" si="92"/>
        <v>#N/A</v>
      </c>
      <c r="M443" s="37" t="e">
        <f t="shared" ca="1" si="90"/>
        <v>#N/A</v>
      </c>
      <c r="N443" s="37" t="e">
        <f t="shared" ca="1" si="91"/>
        <v>#N/A</v>
      </c>
      <c r="P443" s="35" t="e">
        <f t="shared" ca="1" si="99"/>
        <v>#N/A</v>
      </c>
      <c r="Q443" s="59" t="e">
        <f t="shared" ca="1" si="93"/>
        <v>#N/A</v>
      </c>
      <c r="R443" s="44" t="e">
        <f t="shared" ca="1" si="94"/>
        <v>#N/A</v>
      </c>
      <c r="S443" s="37" t="e">
        <f ca="1">IF(P443="","",IF(P443="Total",SUM($S$19:S442),VLOOKUP($P443,$B$12:$L497,11,FALSE)))</f>
        <v>#N/A</v>
      </c>
      <c r="T443" s="44" t="e">
        <f ca="1">IF(payfreq="Annually",IF(P443="","",IF(P443="Total",SUM($T$19:T442),Adj_Rate*$R443)),IF(payfreq="Semiannually",IF(P443="","",IF(P443="Total",SUM($T$19:T442),Adj_Rate/2*$R443)),IF(payfreq="Quarterly",IF(P443="","",IF(P443="Total",SUM($T$19:T442),Adj_Rate/4*$R443)),IF(payfreq="Monthly",IF(P443="","",IF(P443="Total",SUM($T$19:T442),Adj_Rate/12*$R443)),""))))</f>
        <v>#N/A</v>
      </c>
      <c r="U443" s="37" t="e">
        <f t="shared" ca="1" si="95"/>
        <v>#N/A</v>
      </c>
      <c r="V443" s="44" t="e">
        <f t="shared" ca="1" si="96"/>
        <v>#N/A</v>
      </c>
    </row>
    <row r="444" spans="2:22">
      <c r="B444" s="38" t="e">
        <f t="shared" ca="1" si="97"/>
        <v>#N/A</v>
      </c>
      <c r="C444" s="77" t="e">
        <f t="shared" ca="1" si="98"/>
        <v>#N/A</v>
      </c>
      <c r="D444" s="78" t="e">
        <f ca="1">+IF(AND(B444&lt;$G$7),VLOOKUP($B$1,Inventory!$A$1:$BC$500,35,FALSE),IF(AND(B444=$G$7,pmt_timing="End"),VLOOKUP($B$1,Inventory!$A$1:$BC$500,35,FALSE),0))</f>
        <v>#N/A</v>
      </c>
      <c r="E444" s="78">
        <v>0</v>
      </c>
      <c r="F444" s="78">
        <v>0</v>
      </c>
      <c r="G444" s="78">
        <v>0</v>
      </c>
      <c r="H444" s="78">
        <v>0</v>
      </c>
      <c r="I444" s="78">
        <v>0</v>
      </c>
      <c r="J444" s="78">
        <v>0</v>
      </c>
      <c r="K444" s="78">
        <v>0</v>
      </c>
      <c r="L444" s="36" t="e">
        <f t="shared" ca="1" si="92"/>
        <v>#N/A</v>
      </c>
      <c r="M444" s="37" t="e">
        <f t="shared" ca="1" si="90"/>
        <v>#N/A</v>
      </c>
      <c r="N444" s="37" t="e">
        <f t="shared" ca="1" si="91"/>
        <v>#N/A</v>
      </c>
      <c r="P444" s="35" t="e">
        <f t="shared" ca="1" si="99"/>
        <v>#N/A</v>
      </c>
      <c r="Q444" s="59" t="e">
        <f t="shared" ca="1" si="93"/>
        <v>#N/A</v>
      </c>
      <c r="R444" s="44" t="e">
        <f t="shared" ca="1" si="94"/>
        <v>#N/A</v>
      </c>
      <c r="S444" s="37" t="e">
        <f ca="1">IF(P444="","",IF(P444="Total",SUM($S$19:S443),VLOOKUP($P444,$B$12:$L498,11,FALSE)))</f>
        <v>#N/A</v>
      </c>
      <c r="T444" s="44" t="e">
        <f ca="1">IF(payfreq="Annually",IF(P444="","",IF(P444="Total",SUM($T$19:T443),Adj_Rate*$R444)),IF(payfreq="Semiannually",IF(P444="","",IF(P444="Total",SUM($T$19:T443),Adj_Rate/2*$R444)),IF(payfreq="Quarterly",IF(P444="","",IF(P444="Total",SUM($T$19:T443),Adj_Rate/4*$R444)),IF(payfreq="Monthly",IF(P444="","",IF(P444="Total",SUM($T$19:T443),Adj_Rate/12*$R444)),""))))</f>
        <v>#N/A</v>
      </c>
      <c r="U444" s="37" t="e">
        <f t="shared" ca="1" si="95"/>
        <v>#N/A</v>
      </c>
      <c r="V444" s="44" t="e">
        <f t="shared" ca="1" si="96"/>
        <v>#N/A</v>
      </c>
    </row>
    <row r="445" spans="2:22">
      <c r="B445" s="38" t="e">
        <f t="shared" ca="1" si="97"/>
        <v>#N/A</v>
      </c>
      <c r="C445" s="77" t="e">
        <f t="shared" ca="1" si="98"/>
        <v>#N/A</v>
      </c>
      <c r="D445" s="78" t="e">
        <f ca="1">+IF(AND(B445&lt;$G$7),VLOOKUP($B$1,Inventory!$A$1:$BC$500,35,FALSE),IF(AND(B445=$G$7,pmt_timing="End"),VLOOKUP($B$1,Inventory!$A$1:$BC$500,35,FALSE),0))</f>
        <v>#N/A</v>
      </c>
      <c r="E445" s="78">
        <v>0</v>
      </c>
      <c r="F445" s="78">
        <v>0</v>
      </c>
      <c r="G445" s="78">
        <v>0</v>
      </c>
      <c r="H445" s="78">
        <v>0</v>
      </c>
      <c r="I445" s="78">
        <v>0</v>
      </c>
      <c r="J445" s="78">
        <v>0</v>
      </c>
      <c r="K445" s="78">
        <v>0</v>
      </c>
      <c r="L445" s="36" t="e">
        <f t="shared" ca="1" si="92"/>
        <v>#N/A</v>
      </c>
      <c r="M445" s="37" t="e">
        <f t="shared" ca="1" si="90"/>
        <v>#N/A</v>
      </c>
      <c r="N445" s="37" t="e">
        <f t="shared" ca="1" si="91"/>
        <v>#N/A</v>
      </c>
      <c r="P445" s="35" t="e">
        <f t="shared" ca="1" si="99"/>
        <v>#N/A</v>
      </c>
      <c r="Q445" s="59" t="e">
        <f t="shared" ca="1" si="93"/>
        <v>#N/A</v>
      </c>
      <c r="R445" s="44" t="e">
        <f t="shared" ca="1" si="94"/>
        <v>#N/A</v>
      </c>
      <c r="S445" s="37" t="e">
        <f ca="1">IF(P445="","",IF(P445="Total",SUM($S$19:S444),VLOOKUP($P445,$B$12:$L499,11,FALSE)))</f>
        <v>#N/A</v>
      </c>
      <c r="T445" s="44" t="e">
        <f ca="1">IF(payfreq="Annually",IF(P445="","",IF(P445="Total",SUM($T$19:T444),Adj_Rate*$R445)),IF(payfreq="Semiannually",IF(P445="","",IF(P445="Total",SUM($T$19:T444),Adj_Rate/2*$R445)),IF(payfreq="Quarterly",IF(P445="","",IF(P445="Total",SUM($T$19:T444),Adj_Rate/4*$R445)),IF(payfreq="Monthly",IF(P445="","",IF(P445="Total",SUM($T$19:T444),Adj_Rate/12*$R445)),""))))</f>
        <v>#N/A</v>
      </c>
      <c r="U445" s="37" t="e">
        <f t="shared" ca="1" si="95"/>
        <v>#N/A</v>
      </c>
      <c r="V445" s="44" t="e">
        <f t="shared" ca="1" si="96"/>
        <v>#N/A</v>
      </c>
    </row>
    <row r="446" spans="2:22">
      <c r="B446" s="38" t="e">
        <f t="shared" ca="1" si="97"/>
        <v>#N/A</v>
      </c>
      <c r="C446" s="77" t="e">
        <f t="shared" ca="1" si="98"/>
        <v>#N/A</v>
      </c>
      <c r="D446" s="78" t="e">
        <f ca="1">+IF(AND(B446&lt;$G$7),VLOOKUP($B$1,Inventory!$A$1:$BC$500,35,FALSE),IF(AND(B446=$G$7,pmt_timing="End"),VLOOKUP($B$1,Inventory!$A$1:$BC$500,35,FALSE),0))</f>
        <v>#N/A</v>
      </c>
      <c r="E446" s="78">
        <v>0</v>
      </c>
      <c r="F446" s="78">
        <v>0</v>
      </c>
      <c r="G446" s="78">
        <v>0</v>
      </c>
      <c r="H446" s="78">
        <v>0</v>
      </c>
      <c r="I446" s="78">
        <v>0</v>
      </c>
      <c r="J446" s="78">
        <v>0</v>
      </c>
      <c r="K446" s="78">
        <v>0</v>
      </c>
      <c r="L446" s="36" t="e">
        <f t="shared" ca="1" si="92"/>
        <v>#N/A</v>
      </c>
      <c r="M446" s="37" t="e">
        <f t="shared" ca="1" si="90"/>
        <v>#N/A</v>
      </c>
      <c r="N446" s="37" t="e">
        <f t="shared" ca="1" si="91"/>
        <v>#N/A</v>
      </c>
      <c r="P446" s="35" t="e">
        <f t="shared" ca="1" si="99"/>
        <v>#N/A</v>
      </c>
      <c r="Q446" s="59" t="e">
        <f t="shared" ca="1" si="93"/>
        <v>#N/A</v>
      </c>
      <c r="R446" s="44" t="e">
        <f t="shared" ca="1" si="94"/>
        <v>#N/A</v>
      </c>
      <c r="S446" s="37" t="e">
        <f ca="1">IF(P446="","",IF(P446="Total",SUM($S$19:S445),VLOOKUP($P446,$B$12:$L500,11,FALSE)))</f>
        <v>#N/A</v>
      </c>
      <c r="T446" s="44" t="e">
        <f ca="1">IF(payfreq="Annually",IF(P446="","",IF(P446="Total",SUM($T$19:T445),Adj_Rate*$R446)),IF(payfreq="Semiannually",IF(P446="","",IF(P446="Total",SUM($T$19:T445),Adj_Rate/2*$R446)),IF(payfreq="Quarterly",IF(P446="","",IF(P446="Total",SUM($T$19:T445),Adj_Rate/4*$R446)),IF(payfreq="Monthly",IF(P446="","",IF(P446="Total",SUM($T$19:T445),Adj_Rate/12*$R446)),""))))</f>
        <v>#N/A</v>
      </c>
      <c r="U446" s="37" t="e">
        <f t="shared" ca="1" si="95"/>
        <v>#N/A</v>
      </c>
      <c r="V446" s="44" t="e">
        <f t="shared" ca="1" si="96"/>
        <v>#N/A</v>
      </c>
    </row>
    <row r="447" spans="2:22">
      <c r="B447" s="38" t="e">
        <f t="shared" ca="1" si="97"/>
        <v>#N/A</v>
      </c>
      <c r="C447" s="77" t="e">
        <f t="shared" ca="1" si="98"/>
        <v>#N/A</v>
      </c>
      <c r="D447" s="78" t="e">
        <f ca="1">+IF(AND(B447&lt;$G$7),VLOOKUP($B$1,Inventory!$A$1:$BC$500,35,FALSE),IF(AND(B447=$G$7,pmt_timing="End"),VLOOKUP($B$1,Inventory!$A$1:$BC$500,35,FALSE),0))</f>
        <v>#N/A</v>
      </c>
      <c r="E447" s="78">
        <v>0</v>
      </c>
      <c r="F447" s="78">
        <v>0</v>
      </c>
      <c r="G447" s="78">
        <v>0</v>
      </c>
      <c r="H447" s="78">
        <v>0</v>
      </c>
      <c r="I447" s="78">
        <v>0</v>
      </c>
      <c r="J447" s="78">
        <v>0</v>
      </c>
      <c r="K447" s="78">
        <v>0</v>
      </c>
      <c r="L447" s="36" t="e">
        <f t="shared" ca="1" si="92"/>
        <v>#N/A</v>
      </c>
      <c r="M447" s="37" t="e">
        <f t="shared" ca="1" si="90"/>
        <v>#N/A</v>
      </c>
      <c r="N447" s="37" t="e">
        <f t="shared" ca="1" si="91"/>
        <v>#N/A</v>
      </c>
      <c r="P447" s="35" t="e">
        <f t="shared" ca="1" si="99"/>
        <v>#N/A</v>
      </c>
      <c r="Q447" s="59" t="e">
        <f t="shared" ca="1" si="93"/>
        <v>#N/A</v>
      </c>
      <c r="R447" s="44" t="e">
        <f t="shared" ca="1" si="94"/>
        <v>#N/A</v>
      </c>
      <c r="S447" s="37" t="e">
        <f ca="1">IF(P447="","",IF(P447="Total",SUM($S$19:S446),VLOOKUP($P447,$B$12:$L501,11,FALSE)))</f>
        <v>#N/A</v>
      </c>
      <c r="T447" s="44" t="e">
        <f ca="1">IF(payfreq="Annually",IF(P447="","",IF(P447="Total",SUM($T$19:T446),Adj_Rate*$R447)),IF(payfreq="Semiannually",IF(P447="","",IF(P447="Total",SUM($T$19:T446),Adj_Rate/2*$R447)),IF(payfreq="Quarterly",IF(P447="","",IF(P447="Total",SUM($T$19:T446),Adj_Rate/4*$R447)),IF(payfreq="Monthly",IF(P447="","",IF(P447="Total",SUM($T$19:T446),Adj_Rate/12*$R447)),""))))</f>
        <v>#N/A</v>
      </c>
      <c r="U447" s="37" t="e">
        <f t="shared" ca="1" si="95"/>
        <v>#N/A</v>
      </c>
      <c r="V447" s="44" t="e">
        <f t="shared" ca="1" si="96"/>
        <v>#N/A</v>
      </c>
    </row>
    <row r="448" spans="2:22">
      <c r="B448" s="38" t="e">
        <f t="shared" ca="1" si="97"/>
        <v>#N/A</v>
      </c>
      <c r="C448" s="77" t="e">
        <f t="shared" ca="1" si="98"/>
        <v>#N/A</v>
      </c>
      <c r="D448" s="78" t="e">
        <f ca="1">+IF(AND(B448&lt;$G$7),VLOOKUP($B$1,Inventory!$A$1:$BC$500,35,FALSE),IF(AND(B448=$G$7,pmt_timing="End"),VLOOKUP($B$1,Inventory!$A$1:$BC$500,35,FALSE),0))</f>
        <v>#N/A</v>
      </c>
      <c r="E448" s="78">
        <v>0</v>
      </c>
      <c r="F448" s="78">
        <v>0</v>
      </c>
      <c r="G448" s="78">
        <v>0</v>
      </c>
      <c r="H448" s="78">
        <v>0</v>
      </c>
      <c r="I448" s="78">
        <v>0</v>
      </c>
      <c r="J448" s="78">
        <v>0</v>
      </c>
      <c r="K448" s="78">
        <v>0</v>
      </c>
      <c r="L448" s="36" t="e">
        <f t="shared" ca="1" si="92"/>
        <v>#N/A</v>
      </c>
      <c r="M448" s="37" t="e">
        <f t="shared" ca="1" si="90"/>
        <v>#N/A</v>
      </c>
      <c r="N448" s="37" t="e">
        <f t="shared" ca="1" si="91"/>
        <v>#N/A</v>
      </c>
      <c r="P448" s="35" t="e">
        <f t="shared" ca="1" si="99"/>
        <v>#N/A</v>
      </c>
      <c r="Q448" s="59" t="e">
        <f t="shared" ca="1" si="93"/>
        <v>#N/A</v>
      </c>
      <c r="R448" s="44" t="e">
        <f t="shared" ca="1" si="94"/>
        <v>#N/A</v>
      </c>
      <c r="S448" s="37" t="e">
        <f ca="1">IF(P448="","",IF(P448="Total",SUM($S$19:S447),VLOOKUP($P448,$B$12:$L502,11,FALSE)))</f>
        <v>#N/A</v>
      </c>
      <c r="T448" s="44" t="e">
        <f ca="1">IF(payfreq="Annually",IF(P448="","",IF(P448="Total",SUM($T$19:T447),Adj_Rate*$R448)),IF(payfreq="Semiannually",IF(P448="","",IF(P448="Total",SUM($T$19:T447),Adj_Rate/2*$R448)),IF(payfreq="Quarterly",IF(P448="","",IF(P448="Total",SUM($T$19:T447),Adj_Rate/4*$R448)),IF(payfreq="Monthly",IF(P448="","",IF(P448="Total",SUM($T$19:T447),Adj_Rate/12*$R448)),""))))</f>
        <v>#N/A</v>
      </c>
      <c r="U448" s="37" t="e">
        <f t="shared" ca="1" si="95"/>
        <v>#N/A</v>
      </c>
      <c r="V448" s="44" t="e">
        <f t="shared" ca="1" si="96"/>
        <v>#N/A</v>
      </c>
    </row>
    <row r="449" spans="2:22">
      <c r="B449" s="38" t="e">
        <f t="shared" ca="1" si="97"/>
        <v>#N/A</v>
      </c>
      <c r="C449" s="77" t="e">
        <f t="shared" ca="1" si="98"/>
        <v>#N/A</v>
      </c>
      <c r="D449" s="78" t="e">
        <f ca="1">+IF(AND(B449&lt;$G$7),VLOOKUP($B$1,Inventory!$A$1:$BC$500,35,FALSE),IF(AND(B449=$G$7,pmt_timing="End"),VLOOKUP($B$1,Inventory!$A$1:$BC$500,35,FALSE),0))</f>
        <v>#N/A</v>
      </c>
      <c r="E449" s="78">
        <v>0</v>
      </c>
      <c r="F449" s="78">
        <v>0</v>
      </c>
      <c r="G449" s="78">
        <v>0</v>
      </c>
      <c r="H449" s="78">
        <v>0</v>
      </c>
      <c r="I449" s="78">
        <v>0</v>
      </c>
      <c r="J449" s="78">
        <v>0</v>
      </c>
      <c r="K449" s="78">
        <v>0</v>
      </c>
      <c r="L449" s="36" t="e">
        <f t="shared" ca="1" si="92"/>
        <v>#N/A</v>
      </c>
      <c r="M449" s="37" t="e">
        <f t="shared" ca="1" si="90"/>
        <v>#N/A</v>
      </c>
      <c r="N449" s="37" t="e">
        <f t="shared" ca="1" si="91"/>
        <v>#N/A</v>
      </c>
      <c r="P449" s="35" t="e">
        <f t="shared" ca="1" si="99"/>
        <v>#N/A</v>
      </c>
      <c r="Q449" s="59" t="e">
        <f t="shared" ca="1" si="93"/>
        <v>#N/A</v>
      </c>
      <c r="R449" s="44" t="e">
        <f t="shared" ca="1" si="94"/>
        <v>#N/A</v>
      </c>
      <c r="S449" s="37" t="e">
        <f ca="1">IF(P449="","",IF(P449="Total",SUM($S$19:S448),VLOOKUP($P449,$B$12:$L503,11,FALSE)))</f>
        <v>#N/A</v>
      </c>
      <c r="T449" s="44" t="e">
        <f ca="1">IF(payfreq="Annually",IF(P449="","",IF(P449="Total",SUM($T$19:T448),Adj_Rate*$R449)),IF(payfreq="Semiannually",IF(P449="","",IF(P449="Total",SUM($T$19:T448),Adj_Rate/2*$R449)),IF(payfreq="Quarterly",IF(P449="","",IF(P449="Total",SUM($T$19:T448),Adj_Rate/4*$R449)),IF(payfreq="Monthly",IF(P449="","",IF(P449="Total",SUM($T$19:T448),Adj_Rate/12*$R449)),""))))</f>
        <v>#N/A</v>
      </c>
      <c r="U449" s="37" t="e">
        <f t="shared" ca="1" si="95"/>
        <v>#N/A</v>
      </c>
      <c r="V449" s="44" t="e">
        <f t="shared" ca="1" si="96"/>
        <v>#N/A</v>
      </c>
    </row>
    <row r="450" spans="2:22">
      <c r="B450" s="38" t="e">
        <f t="shared" ca="1" si="97"/>
        <v>#N/A</v>
      </c>
      <c r="C450" s="77" t="e">
        <f t="shared" ca="1" si="98"/>
        <v>#N/A</v>
      </c>
      <c r="D450" s="78" t="e">
        <f ca="1">+IF(AND(B450&lt;$G$7),VLOOKUP($B$1,Inventory!$A$1:$BC$500,35,FALSE),IF(AND(B450=$G$7,pmt_timing="End"),VLOOKUP($B$1,Inventory!$A$1:$BC$500,35,FALSE),0))</f>
        <v>#N/A</v>
      </c>
      <c r="E450" s="78">
        <v>0</v>
      </c>
      <c r="F450" s="78">
        <v>0</v>
      </c>
      <c r="G450" s="78">
        <v>0</v>
      </c>
      <c r="H450" s="78">
        <v>0</v>
      </c>
      <c r="I450" s="78">
        <v>0</v>
      </c>
      <c r="J450" s="78">
        <v>0</v>
      </c>
      <c r="K450" s="78">
        <v>0</v>
      </c>
      <c r="L450" s="36" t="e">
        <f t="shared" ca="1" si="92"/>
        <v>#N/A</v>
      </c>
      <c r="M450" s="37" t="e">
        <f t="shared" ca="1" si="90"/>
        <v>#N/A</v>
      </c>
      <c r="N450" s="37" t="e">
        <f t="shared" ca="1" si="91"/>
        <v>#N/A</v>
      </c>
      <c r="P450" s="35" t="e">
        <f t="shared" ca="1" si="99"/>
        <v>#N/A</v>
      </c>
      <c r="Q450" s="59" t="e">
        <f t="shared" ca="1" si="93"/>
        <v>#N/A</v>
      </c>
      <c r="R450" s="44" t="e">
        <f t="shared" ca="1" si="94"/>
        <v>#N/A</v>
      </c>
      <c r="S450" s="37" t="e">
        <f ca="1">IF(P450="","",IF(P450="Total",SUM($S$19:S449),VLOOKUP($P450,$B$12:$L504,11,FALSE)))</f>
        <v>#N/A</v>
      </c>
      <c r="T450" s="44" t="e">
        <f ca="1">IF(payfreq="Annually",IF(P450="","",IF(P450="Total",SUM($T$19:T449),Adj_Rate*$R450)),IF(payfreq="Semiannually",IF(P450="","",IF(P450="Total",SUM($T$19:T449),Adj_Rate/2*$R450)),IF(payfreq="Quarterly",IF(P450="","",IF(P450="Total",SUM($T$19:T449),Adj_Rate/4*$R450)),IF(payfreq="Monthly",IF(P450="","",IF(P450="Total",SUM($T$19:T449),Adj_Rate/12*$R450)),""))))</f>
        <v>#N/A</v>
      </c>
      <c r="U450" s="37" t="e">
        <f t="shared" ca="1" si="95"/>
        <v>#N/A</v>
      </c>
      <c r="V450" s="44" t="e">
        <f t="shared" ca="1" si="96"/>
        <v>#N/A</v>
      </c>
    </row>
    <row r="451" spans="2:22">
      <c r="B451" s="38" t="e">
        <f t="shared" ca="1" si="97"/>
        <v>#N/A</v>
      </c>
      <c r="C451" s="77" t="e">
        <f t="shared" ca="1" si="98"/>
        <v>#N/A</v>
      </c>
      <c r="D451" s="78" t="e">
        <f ca="1">+IF(AND(B451&lt;$G$7),VLOOKUP($B$1,Inventory!$A$1:$BC$500,35,FALSE),IF(AND(B451=$G$7,pmt_timing="End"),VLOOKUP($B$1,Inventory!$A$1:$BC$500,35,FALSE),0))</f>
        <v>#N/A</v>
      </c>
      <c r="E451" s="78">
        <v>0</v>
      </c>
      <c r="F451" s="78">
        <v>0</v>
      </c>
      <c r="G451" s="78">
        <v>0</v>
      </c>
      <c r="H451" s="78">
        <v>0</v>
      </c>
      <c r="I451" s="78">
        <v>0</v>
      </c>
      <c r="J451" s="78">
        <v>0</v>
      </c>
      <c r="K451" s="78">
        <v>0</v>
      </c>
      <c r="L451" s="36" t="e">
        <f t="shared" ca="1" si="92"/>
        <v>#N/A</v>
      </c>
      <c r="M451" s="37" t="e">
        <f t="shared" ca="1" si="90"/>
        <v>#N/A</v>
      </c>
      <c r="N451" s="37" t="e">
        <f t="shared" ca="1" si="91"/>
        <v>#N/A</v>
      </c>
      <c r="P451" s="35" t="e">
        <f t="shared" ca="1" si="99"/>
        <v>#N/A</v>
      </c>
      <c r="Q451" s="59" t="e">
        <f t="shared" ca="1" si="93"/>
        <v>#N/A</v>
      </c>
      <c r="R451" s="44" t="e">
        <f t="shared" ca="1" si="94"/>
        <v>#N/A</v>
      </c>
      <c r="S451" s="37" t="e">
        <f ca="1">IF(P451="","",IF(P451="Total",SUM($S$19:S450),VLOOKUP($P451,$B$12:$L505,11,FALSE)))</f>
        <v>#N/A</v>
      </c>
      <c r="T451" s="44" t="e">
        <f ca="1">IF(payfreq="Annually",IF(P451="","",IF(P451="Total",SUM($T$19:T450),Adj_Rate*$R451)),IF(payfreq="Semiannually",IF(P451="","",IF(P451="Total",SUM($T$19:T450),Adj_Rate/2*$R451)),IF(payfreq="Quarterly",IF(P451="","",IF(P451="Total",SUM($T$19:T450),Adj_Rate/4*$R451)),IF(payfreq="Monthly",IF(P451="","",IF(P451="Total",SUM($T$19:T450),Adj_Rate/12*$R451)),""))))</f>
        <v>#N/A</v>
      </c>
      <c r="U451" s="37" t="e">
        <f t="shared" ca="1" si="95"/>
        <v>#N/A</v>
      </c>
      <c r="V451" s="44" t="e">
        <f t="shared" ca="1" si="96"/>
        <v>#N/A</v>
      </c>
    </row>
    <row r="452" spans="2:22">
      <c r="B452" s="38" t="e">
        <f t="shared" ca="1" si="97"/>
        <v>#N/A</v>
      </c>
      <c r="C452" s="77" t="e">
        <f t="shared" ca="1" si="98"/>
        <v>#N/A</v>
      </c>
      <c r="D452" s="78" t="e">
        <f ca="1">+IF(AND(B452&lt;$G$7),VLOOKUP($B$1,Inventory!$A$1:$BC$500,35,FALSE),IF(AND(B452=$G$7,pmt_timing="End"),VLOOKUP($B$1,Inventory!$A$1:$BC$500,35,FALSE),0))</f>
        <v>#N/A</v>
      </c>
      <c r="E452" s="78">
        <v>0</v>
      </c>
      <c r="F452" s="78">
        <v>0</v>
      </c>
      <c r="G452" s="78">
        <v>0</v>
      </c>
      <c r="H452" s="78">
        <v>0</v>
      </c>
      <c r="I452" s="78">
        <v>0</v>
      </c>
      <c r="J452" s="78">
        <v>0</v>
      </c>
      <c r="K452" s="78">
        <v>0</v>
      </c>
      <c r="L452" s="36" t="e">
        <f t="shared" ca="1" si="92"/>
        <v>#N/A</v>
      </c>
      <c r="M452" s="37" t="e">
        <f t="shared" ca="1" si="90"/>
        <v>#N/A</v>
      </c>
      <c r="N452" s="37" t="e">
        <f t="shared" ca="1" si="91"/>
        <v>#N/A</v>
      </c>
      <c r="P452" s="35" t="e">
        <f t="shared" ca="1" si="99"/>
        <v>#N/A</v>
      </c>
      <c r="Q452" s="59" t="e">
        <f t="shared" ca="1" si="93"/>
        <v>#N/A</v>
      </c>
      <c r="R452" s="44" t="e">
        <f t="shared" ca="1" si="94"/>
        <v>#N/A</v>
      </c>
      <c r="S452" s="37" t="e">
        <f ca="1">IF(P452="","",IF(P452="Total",SUM($S$19:S451),VLOOKUP($P452,$B$12:$L506,11,FALSE)))</f>
        <v>#N/A</v>
      </c>
      <c r="T452" s="44" t="e">
        <f ca="1">IF(payfreq="Annually",IF(P452="","",IF(P452="Total",SUM($T$19:T451),Adj_Rate*$R452)),IF(payfreq="Semiannually",IF(P452="","",IF(P452="Total",SUM($T$19:T451),Adj_Rate/2*$R452)),IF(payfreq="Quarterly",IF(P452="","",IF(P452="Total",SUM($T$19:T451),Adj_Rate/4*$R452)),IF(payfreq="Monthly",IF(P452="","",IF(P452="Total",SUM($T$19:T451),Adj_Rate/12*$R452)),""))))</f>
        <v>#N/A</v>
      </c>
      <c r="U452" s="37" t="e">
        <f t="shared" ca="1" si="95"/>
        <v>#N/A</v>
      </c>
      <c r="V452" s="44" t="e">
        <f t="shared" ca="1" si="96"/>
        <v>#N/A</v>
      </c>
    </row>
    <row r="453" spans="2:22">
      <c r="B453" s="38" t="e">
        <f t="shared" ca="1" si="97"/>
        <v>#N/A</v>
      </c>
      <c r="C453" s="77" t="e">
        <f t="shared" ca="1" si="98"/>
        <v>#N/A</v>
      </c>
      <c r="D453" s="78" t="e">
        <f ca="1">+IF(AND(B453&lt;$G$7),VLOOKUP($B$1,Inventory!$A$1:$BC$500,35,FALSE),IF(AND(B453=$G$7,pmt_timing="End"),VLOOKUP($B$1,Inventory!$A$1:$BC$500,35,FALSE),0))</f>
        <v>#N/A</v>
      </c>
      <c r="E453" s="78">
        <v>0</v>
      </c>
      <c r="F453" s="78">
        <v>0</v>
      </c>
      <c r="G453" s="78">
        <v>0</v>
      </c>
      <c r="H453" s="78">
        <v>0</v>
      </c>
      <c r="I453" s="78">
        <v>0</v>
      </c>
      <c r="J453" s="78">
        <v>0</v>
      </c>
      <c r="K453" s="78">
        <v>0</v>
      </c>
      <c r="L453" s="36" t="e">
        <f t="shared" ca="1" si="92"/>
        <v>#N/A</v>
      </c>
      <c r="M453" s="37" t="e">
        <f t="shared" ca="1" si="90"/>
        <v>#N/A</v>
      </c>
      <c r="N453" s="37" t="e">
        <f t="shared" ca="1" si="91"/>
        <v>#N/A</v>
      </c>
      <c r="P453" s="35" t="e">
        <f t="shared" ca="1" si="99"/>
        <v>#N/A</v>
      </c>
      <c r="Q453" s="59" t="e">
        <f t="shared" ca="1" si="93"/>
        <v>#N/A</v>
      </c>
      <c r="R453" s="44" t="e">
        <f t="shared" ca="1" si="94"/>
        <v>#N/A</v>
      </c>
      <c r="S453" s="37" t="e">
        <f ca="1">IF(P453="","",IF(P453="Total",SUM($S$19:S452),VLOOKUP($P453,$B$12:$L507,11,FALSE)))</f>
        <v>#N/A</v>
      </c>
      <c r="T453" s="44" t="e">
        <f ca="1">IF(payfreq="Annually",IF(P453="","",IF(P453="Total",SUM($T$19:T452),Adj_Rate*$R453)),IF(payfreq="Semiannually",IF(P453="","",IF(P453="Total",SUM($T$19:T452),Adj_Rate/2*$R453)),IF(payfreq="Quarterly",IF(P453="","",IF(P453="Total",SUM($T$19:T452),Adj_Rate/4*$R453)),IF(payfreq="Monthly",IF(P453="","",IF(P453="Total",SUM($T$19:T452),Adj_Rate/12*$R453)),""))))</f>
        <v>#N/A</v>
      </c>
      <c r="U453" s="37" t="e">
        <f t="shared" ca="1" si="95"/>
        <v>#N/A</v>
      </c>
      <c r="V453" s="44" t="e">
        <f t="shared" ca="1" si="96"/>
        <v>#N/A</v>
      </c>
    </row>
    <row r="454" spans="2:22">
      <c r="B454" s="38" t="e">
        <f t="shared" ca="1" si="97"/>
        <v>#N/A</v>
      </c>
      <c r="C454" s="77" t="e">
        <f t="shared" ca="1" si="98"/>
        <v>#N/A</v>
      </c>
      <c r="D454" s="78" t="e">
        <f ca="1">+IF(AND(B454&lt;$G$7),VLOOKUP($B$1,Inventory!$A$1:$BC$500,35,FALSE),IF(AND(B454=$G$7,pmt_timing="End"),VLOOKUP($B$1,Inventory!$A$1:$BC$500,35,FALSE),0))</f>
        <v>#N/A</v>
      </c>
      <c r="E454" s="78">
        <v>0</v>
      </c>
      <c r="F454" s="78">
        <v>0</v>
      </c>
      <c r="G454" s="78">
        <v>0</v>
      </c>
      <c r="H454" s="78">
        <v>0</v>
      </c>
      <c r="I454" s="78">
        <v>0</v>
      </c>
      <c r="J454" s="78">
        <v>0</v>
      </c>
      <c r="K454" s="78">
        <v>0</v>
      </c>
      <c r="L454" s="36" t="e">
        <f t="shared" ca="1" si="92"/>
        <v>#N/A</v>
      </c>
      <c r="M454" s="37" t="e">
        <f t="shared" ca="1" si="90"/>
        <v>#N/A</v>
      </c>
      <c r="N454" s="37" t="e">
        <f t="shared" ca="1" si="91"/>
        <v>#N/A</v>
      </c>
      <c r="P454" s="35" t="e">
        <f t="shared" ca="1" si="99"/>
        <v>#N/A</v>
      </c>
      <c r="Q454" s="59" t="e">
        <f t="shared" ca="1" si="93"/>
        <v>#N/A</v>
      </c>
      <c r="R454" s="44" t="e">
        <f t="shared" ca="1" si="94"/>
        <v>#N/A</v>
      </c>
      <c r="S454" s="37" t="e">
        <f ca="1">IF(P454="","",IF(P454="Total",SUM($S$19:S453),VLOOKUP($P454,$B$12:$L508,11,FALSE)))</f>
        <v>#N/A</v>
      </c>
      <c r="T454" s="44" t="e">
        <f ca="1">IF(payfreq="Annually",IF(P454="","",IF(P454="Total",SUM($T$19:T453),Adj_Rate*$R454)),IF(payfreq="Semiannually",IF(P454="","",IF(P454="Total",SUM($T$19:T453),Adj_Rate/2*$R454)),IF(payfreq="Quarterly",IF(P454="","",IF(P454="Total",SUM($T$19:T453),Adj_Rate/4*$R454)),IF(payfreq="Monthly",IF(P454="","",IF(P454="Total",SUM($T$19:T453),Adj_Rate/12*$R454)),""))))</f>
        <v>#N/A</v>
      </c>
      <c r="U454" s="37" t="e">
        <f t="shared" ca="1" si="95"/>
        <v>#N/A</v>
      </c>
      <c r="V454" s="44" t="e">
        <f t="shared" ca="1" si="96"/>
        <v>#N/A</v>
      </c>
    </row>
    <row r="455" spans="2:22">
      <c r="B455" s="38" t="e">
        <f t="shared" ca="1" si="97"/>
        <v>#N/A</v>
      </c>
      <c r="C455" s="77" t="e">
        <f t="shared" ca="1" si="98"/>
        <v>#N/A</v>
      </c>
      <c r="D455" s="78" t="e">
        <f ca="1">+IF(AND(B455&lt;$G$7),VLOOKUP($B$1,Inventory!$A$1:$BC$500,35,FALSE),IF(AND(B455=$G$7,pmt_timing="End"),VLOOKUP($B$1,Inventory!$A$1:$BC$500,35,FALSE),0))</f>
        <v>#N/A</v>
      </c>
      <c r="E455" s="78">
        <v>0</v>
      </c>
      <c r="F455" s="78">
        <v>0</v>
      </c>
      <c r="G455" s="78">
        <v>0</v>
      </c>
      <c r="H455" s="78">
        <v>0</v>
      </c>
      <c r="I455" s="78">
        <v>0</v>
      </c>
      <c r="J455" s="78">
        <v>0</v>
      </c>
      <c r="K455" s="78">
        <v>0</v>
      </c>
      <c r="L455" s="36" t="e">
        <f t="shared" ca="1" si="92"/>
        <v>#N/A</v>
      </c>
      <c r="M455" s="37" t="e">
        <f t="shared" ca="1" si="90"/>
        <v>#N/A</v>
      </c>
      <c r="N455" s="37" t="e">
        <f t="shared" ca="1" si="91"/>
        <v>#N/A</v>
      </c>
      <c r="P455" s="35" t="e">
        <f t="shared" ca="1" si="99"/>
        <v>#N/A</v>
      </c>
      <c r="Q455" s="59" t="e">
        <f t="shared" ca="1" si="93"/>
        <v>#N/A</v>
      </c>
      <c r="R455" s="44" t="e">
        <f t="shared" ca="1" si="94"/>
        <v>#N/A</v>
      </c>
      <c r="S455" s="37" t="e">
        <f ca="1">IF(P455="","",IF(P455="Total",SUM($S$19:S454),VLOOKUP($P455,$B$12:$L509,11,FALSE)))</f>
        <v>#N/A</v>
      </c>
      <c r="T455" s="44" t="e">
        <f ca="1">IF(payfreq="Annually",IF(P455="","",IF(P455="Total",SUM($T$19:T454),Adj_Rate*$R455)),IF(payfreq="Semiannually",IF(P455="","",IF(P455="Total",SUM($T$19:T454),Adj_Rate/2*$R455)),IF(payfreq="Quarterly",IF(P455="","",IF(P455="Total",SUM($T$19:T454),Adj_Rate/4*$R455)),IF(payfreq="Monthly",IF(P455="","",IF(P455="Total",SUM($T$19:T454),Adj_Rate/12*$R455)),""))))</f>
        <v>#N/A</v>
      </c>
      <c r="U455" s="37" t="e">
        <f t="shared" ca="1" si="95"/>
        <v>#N/A</v>
      </c>
      <c r="V455" s="44" t="e">
        <f t="shared" ca="1" si="96"/>
        <v>#N/A</v>
      </c>
    </row>
    <row r="456" spans="2:22">
      <c r="B456" s="38" t="e">
        <f t="shared" ca="1" si="97"/>
        <v>#N/A</v>
      </c>
      <c r="C456" s="77" t="e">
        <f t="shared" ca="1" si="98"/>
        <v>#N/A</v>
      </c>
      <c r="D456" s="78" t="e">
        <f ca="1">+IF(AND(B456&lt;$G$7),VLOOKUP($B$1,Inventory!$A$1:$BC$500,35,FALSE),IF(AND(B456=$G$7,pmt_timing="End"),VLOOKUP($B$1,Inventory!$A$1:$BC$500,35,FALSE),0))</f>
        <v>#N/A</v>
      </c>
      <c r="E456" s="78">
        <v>0</v>
      </c>
      <c r="F456" s="78">
        <v>0</v>
      </c>
      <c r="G456" s="78">
        <v>0</v>
      </c>
      <c r="H456" s="78">
        <v>0</v>
      </c>
      <c r="I456" s="78">
        <v>0</v>
      </c>
      <c r="J456" s="78">
        <v>0</v>
      </c>
      <c r="K456" s="78">
        <v>0</v>
      </c>
      <c r="L456" s="36" t="e">
        <f t="shared" ca="1" si="92"/>
        <v>#N/A</v>
      </c>
      <c r="M456" s="37" t="e">
        <f t="shared" ca="1" si="90"/>
        <v>#N/A</v>
      </c>
      <c r="N456" s="37" t="e">
        <f t="shared" ca="1" si="91"/>
        <v>#N/A</v>
      </c>
      <c r="P456" s="35" t="e">
        <f t="shared" ca="1" si="99"/>
        <v>#N/A</v>
      </c>
      <c r="Q456" s="59" t="e">
        <f t="shared" ca="1" si="93"/>
        <v>#N/A</v>
      </c>
      <c r="R456" s="44" t="e">
        <f t="shared" ca="1" si="94"/>
        <v>#N/A</v>
      </c>
      <c r="S456" s="37" t="e">
        <f ca="1">IF(P456="","",IF(P456="Total",SUM($S$19:S455),VLOOKUP($P456,$B$12:$L510,11,FALSE)))</f>
        <v>#N/A</v>
      </c>
      <c r="T456" s="44" t="e">
        <f ca="1">IF(payfreq="Annually",IF(P456="","",IF(P456="Total",SUM($T$19:T455),Adj_Rate*$R456)),IF(payfreq="Semiannually",IF(P456="","",IF(P456="Total",SUM($T$19:T455),Adj_Rate/2*$R456)),IF(payfreq="Quarterly",IF(P456="","",IF(P456="Total",SUM($T$19:T455),Adj_Rate/4*$R456)),IF(payfreq="Monthly",IF(P456="","",IF(P456="Total",SUM($T$19:T455),Adj_Rate/12*$R456)),""))))</f>
        <v>#N/A</v>
      </c>
      <c r="U456" s="37" t="e">
        <f t="shared" ca="1" si="95"/>
        <v>#N/A</v>
      </c>
      <c r="V456" s="44" t="e">
        <f t="shared" ca="1" si="96"/>
        <v>#N/A</v>
      </c>
    </row>
    <row r="457" spans="2:22">
      <c r="B457" s="38" t="e">
        <f t="shared" ca="1" si="97"/>
        <v>#N/A</v>
      </c>
      <c r="C457" s="77" t="e">
        <f t="shared" ca="1" si="98"/>
        <v>#N/A</v>
      </c>
      <c r="D457" s="78" t="e">
        <f ca="1">+IF(AND(B457&lt;$G$7),VLOOKUP($B$1,Inventory!$A$1:$BC$500,35,FALSE),IF(AND(B457=$G$7,pmt_timing="End"),VLOOKUP($B$1,Inventory!$A$1:$BC$500,35,FALSE),0))</f>
        <v>#N/A</v>
      </c>
      <c r="E457" s="78">
        <v>0</v>
      </c>
      <c r="F457" s="78">
        <v>0</v>
      </c>
      <c r="G457" s="78">
        <v>0</v>
      </c>
      <c r="H457" s="78">
        <v>0</v>
      </c>
      <c r="I457" s="78">
        <v>0</v>
      </c>
      <c r="J457" s="78">
        <v>0</v>
      </c>
      <c r="K457" s="78">
        <v>0</v>
      </c>
      <c r="L457" s="36" t="e">
        <f t="shared" ca="1" si="92"/>
        <v>#N/A</v>
      </c>
      <c r="M457" s="37" t="e">
        <f t="shared" ca="1" si="90"/>
        <v>#N/A</v>
      </c>
      <c r="N457" s="37" t="e">
        <f t="shared" ca="1" si="91"/>
        <v>#N/A</v>
      </c>
      <c r="P457" s="35" t="e">
        <f t="shared" ca="1" si="99"/>
        <v>#N/A</v>
      </c>
      <c r="Q457" s="59" t="e">
        <f t="shared" ca="1" si="93"/>
        <v>#N/A</v>
      </c>
      <c r="R457" s="44" t="e">
        <f t="shared" ca="1" si="94"/>
        <v>#N/A</v>
      </c>
      <c r="S457" s="37" t="e">
        <f ca="1">IF(P457="","",IF(P457="Total",SUM($S$19:S456),VLOOKUP($P457,$B$12:$L511,11,FALSE)))</f>
        <v>#N/A</v>
      </c>
      <c r="T457" s="44" t="e">
        <f ca="1">IF(payfreq="Annually",IF(P457="","",IF(P457="Total",SUM($T$19:T456),Adj_Rate*$R457)),IF(payfreq="Semiannually",IF(P457="","",IF(P457="Total",SUM($T$19:T456),Adj_Rate/2*$R457)),IF(payfreq="Quarterly",IF(P457="","",IF(P457="Total",SUM($T$19:T456),Adj_Rate/4*$R457)),IF(payfreq="Monthly",IF(P457="","",IF(P457="Total",SUM($T$19:T456),Adj_Rate/12*$R457)),""))))</f>
        <v>#N/A</v>
      </c>
      <c r="U457" s="37" t="e">
        <f t="shared" ca="1" si="95"/>
        <v>#N/A</v>
      </c>
      <c r="V457" s="44" t="e">
        <f t="shared" ca="1" si="96"/>
        <v>#N/A</v>
      </c>
    </row>
    <row r="458" spans="2:22">
      <c r="B458" s="38" t="e">
        <f t="shared" ca="1" si="97"/>
        <v>#N/A</v>
      </c>
      <c r="C458" s="77" t="e">
        <f t="shared" ca="1" si="98"/>
        <v>#N/A</v>
      </c>
      <c r="D458" s="78" t="e">
        <f ca="1">+IF(AND(B458&lt;$G$7),VLOOKUP($B$1,Inventory!$A$1:$BC$500,35,FALSE),IF(AND(B458=$G$7,pmt_timing="End"),VLOOKUP($B$1,Inventory!$A$1:$BC$500,35,FALSE),0))</f>
        <v>#N/A</v>
      </c>
      <c r="E458" s="78">
        <v>0</v>
      </c>
      <c r="F458" s="78">
        <v>0</v>
      </c>
      <c r="G458" s="78">
        <v>0</v>
      </c>
      <c r="H458" s="78">
        <v>0</v>
      </c>
      <c r="I458" s="78">
        <v>0</v>
      </c>
      <c r="J458" s="78">
        <v>0</v>
      </c>
      <c r="K458" s="78">
        <v>0</v>
      </c>
      <c r="L458" s="36" t="e">
        <f t="shared" ca="1" si="92"/>
        <v>#N/A</v>
      </c>
      <c r="M458" s="37" t="e">
        <f t="shared" ca="1" si="90"/>
        <v>#N/A</v>
      </c>
      <c r="N458" s="37" t="e">
        <f t="shared" ca="1" si="91"/>
        <v>#N/A</v>
      </c>
      <c r="P458" s="35" t="e">
        <f t="shared" ca="1" si="99"/>
        <v>#N/A</v>
      </c>
      <c r="Q458" s="59" t="e">
        <f t="shared" ca="1" si="93"/>
        <v>#N/A</v>
      </c>
      <c r="R458" s="44" t="e">
        <f t="shared" ca="1" si="94"/>
        <v>#N/A</v>
      </c>
      <c r="S458" s="37" t="e">
        <f ca="1">IF(P458="","",IF(P458="Total",SUM($S$19:S457),VLOOKUP($P458,$B$12:$L512,11,FALSE)))</f>
        <v>#N/A</v>
      </c>
      <c r="T458" s="44" t="e">
        <f ca="1">IF(payfreq="Annually",IF(P458="","",IF(P458="Total",SUM($T$19:T457),Adj_Rate*$R458)),IF(payfreq="Semiannually",IF(P458="","",IF(P458="Total",SUM($T$19:T457),Adj_Rate/2*$R458)),IF(payfreq="Quarterly",IF(P458="","",IF(P458="Total",SUM($T$19:T457),Adj_Rate/4*$R458)),IF(payfreq="Monthly",IF(P458="","",IF(P458="Total",SUM($T$19:T457),Adj_Rate/12*$R458)),""))))</f>
        <v>#N/A</v>
      </c>
      <c r="U458" s="37" t="e">
        <f t="shared" ca="1" si="95"/>
        <v>#N/A</v>
      </c>
      <c r="V458" s="44" t="e">
        <f t="shared" ca="1" si="96"/>
        <v>#N/A</v>
      </c>
    </row>
    <row r="459" spans="2:22">
      <c r="B459" s="38" t="e">
        <f t="shared" ca="1" si="97"/>
        <v>#N/A</v>
      </c>
      <c r="C459" s="77" t="e">
        <f t="shared" ca="1" si="98"/>
        <v>#N/A</v>
      </c>
      <c r="D459" s="78" t="e">
        <f ca="1">+IF(AND(B459&lt;$G$7),VLOOKUP($B$1,Inventory!$A$1:$BC$500,35,FALSE),IF(AND(B459=$G$7,pmt_timing="End"),VLOOKUP($B$1,Inventory!$A$1:$BC$500,35,FALSE),0))</f>
        <v>#N/A</v>
      </c>
      <c r="E459" s="78">
        <v>0</v>
      </c>
      <c r="F459" s="78">
        <v>0</v>
      </c>
      <c r="G459" s="78">
        <v>0</v>
      </c>
      <c r="H459" s="78">
        <v>0</v>
      </c>
      <c r="I459" s="78">
        <v>0</v>
      </c>
      <c r="J459" s="78">
        <v>0</v>
      </c>
      <c r="K459" s="78">
        <v>0</v>
      </c>
      <c r="L459" s="36" t="e">
        <f t="shared" ca="1" si="92"/>
        <v>#N/A</v>
      </c>
      <c r="M459" s="37" t="e">
        <f t="shared" ca="1" si="90"/>
        <v>#N/A</v>
      </c>
      <c r="N459" s="37" t="e">
        <f t="shared" ca="1" si="91"/>
        <v>#N/A</v>
      </c>
      <c r="P459" s="35" t="e">
        <f t="shared" ca="1" si="99"/>
        <v>#N/A</v>
      </c>
      <c r="Q459" s="59" t="e">
        <f t="shared" ca="1" si="93"/>
        <v>#N/A</v>
      </c>
      <c r="R459" s="44" t="e">
        <f t="shared" ca="1" si="94"/>
        <v>#N/A</v>
      </c>
      <c r="S459" s="37" t="e">
        <f ca="1">IF(P459="","",IF(P459="Total",SUM($S$19:S458),VLOOKUP($P459,$B$12:$L513,11,FALSE)))</f>
        <v>#N/A</v>
      </c>
      <c r="T459" s="44" t="e">
        <f ca="1">IF(payfreq="Annually",IF(P459="","",IF(P459="Total",SUM($T$19:T458),Adj_Rate*$R459)),IF(payfreq="Semiannually",IF(P459="","",IF(P459="Total",SUM($T$19:T458),Adj_Rate/2*$R459)),IF(payfreq="Quarterly",IF(P459="","",IF(P459="Total",SUM($T$19:T458),Adj_Rate/4*$R459)),IF(payfreq="Monthly",IF(P459="","",IF(P459="Total",SUM($T$19:T458),Adj_Rate/12*$R459)),""))))</f>
        <v>#N/A</v>
      </c>
      <c r="U459" s="37" t="e">
        <f t="shared" ca="1" si="95"/>
        <v>#N/A</v>
      </c>
      <c r="V459" s="44" t="e">
        <f t="shared" ca="1" si="96"/>
        <v>#N/A</v>
      </c>
    </row>
    <row r="460" spans="2:22">
      <c r="B460" s="38" t="e">
        <f t="shared" ca="1" si="97"/>
        <v>#N/A</v>
      </c>
      <c r="C460" s="77" t="e">
        <f t="shared" ca="1" si="98"/>
        <v>#N/A</v>
      </c>
      <c r="D460" s="78" t="e">
        <f ca="1">+IF(AND(B460&lt;$G$7),VLOOKUP($B$1,Inventory!$A$1:$BC$500,35,FALSE),IF(AND(B460=$G$7,pmt_timing="End"),VLOOKUP($B$1,Inventory!$A$1:$BC$500,35,FALSE),0))</f>
        <v>#N/A</v>
      </c>
      <c r="E460" s="78">
        <v>0</v>
      </c>
      <c r="F460" s="78">
        <v>0</v>
      </c>
      <c r="G460" s="78">
        <v>0</v>
      </c>
      <c r="H460" s="78">
        <v>0</v>
      </c>
      <c r="I460" s="78">
        <v>0</v>
      </c>
      <c r="J460" s="78">
        <v>0</v>
      </c>
      <c r="K460" s="78">
        <v>0</v>
      </c>
      <c r="L460" s="36" t="e">
        <f t="shared" ca="1" si="92"/>
        <v>#N/A</v>
      </c>
      <c r="M460" s="37" t="e">
        <f t="shared" ca="1" si="90"/>
        <v>#N/A</v>
      </c>
      <c r="N460" s="37" t="e">
        <f t="shared" ca="1" si="91"/>
        <v>#N/A</v>
      </c>
      <c r="P460" s="35" t="e">
        <f t="shared" ca="1" si="99"/>
        <v>#N/A</v>
      </c>
      <c r="Q460" s="59" t="e">
        <f t="shared" ca="1" si="93"/>
        <v>#N/A</v>
      </c>
      <c r="R460" s="44" t="e">
        <f t="shared" ca="1" si="94"/>
        <v>#N/A</v>
      </c>
      <c r="S460" s="37" t="e">
        <f ca="1">IF(P460="","",IF(P460="Total",SUM($S$19:S459),VLOOKUP($P460,$B$12:$L514,11,FALSE)))</f>
        <v>#N/A</v>
      </c>
      <c r="T460" s="44" t="e">
        <f ca="1">IF(payfreq="Annually",IF(P460="","",IF(P460="Total",SUM($T$19:T459),Adj_Rate*$R460)),IF(payfreq="Semiannually",IF(P460="","",IF(P460="Total",SUM($T$19:T459),Adj_Rate/2*$R460)),IF(payfreq="Quarterly",IF(P460="","",IF(P460="Total",SUM($T$19:T459),Adj_Rate/4*$R460)),IF(payfreq="Monthly",IF(P460="","",IF(P460="Total",SUM($T$19:T459),Adj_Rate/12*$R460)),""))))</f>
        <v>#N/A</v>
      </c>
      <c r="U460" s="37" t="e">
        <f t="shared" ca="1" si="95"/>
        <v>#N/A</v>
      </c>
      <c r="V460" s="44" t="e">
        <f t="shared" ca="1" si="96"/>
        <v>#N/A</v>
      </c>
    </row>
    <row r="461" spans="2:22">
      <c r="B461" s="38" t="e">
        <f t="shared" ca="1" si="97"/>
        <v>#N/A</v>
      </c>
      <c r="C461" s="77" t="e">
        <f t="shared" ca="1" si="98"/>
        <v>#N/A</v>
      </c>
      <c r="D461" s="78" t="e">
        <f ca="1">+IF(AND(B461&lt;$G$7),VLOOKUP($B$1,Inventory!$A$1:$BC$500,35,FALSE),IF(AND(B461=$G$7,pmt_timing="End"),VLOOKUP($B$1,Inventory!$A$1:$BC$500,35,FALSE),0))</f>
        <v>#N/A</v>
      </c>
      <c r="E461" s="78">
        <v>0</v>
      </c>
      <c r="F461" s="78">
        <v>0</v>
      </c>
      <c r="G461" s="78">
        <v>0</v>
      </c>
      <c r="H461" s="78">
        <v>0</v>
      </c>
      <c r="I461" s="78">
        <v>0</v>
      </c>
      <c r="J461" s="78">
        <v>0</v>
      </c>
      <c r="K461" s="78">
        <v>0</v>
      </c>
      <c r="L461" s="36" t="e">
        <f t="shared" ca="1" si="92"/>
        <v>#N/A</v>
      </c>
      <c r="M461" s="37" t="e">
        <f t="shared" ca="1" si="90"/>
        <v>#N/A</v>
      </c>
      <c r="N461" s="37" t="e">
        <f t="shared" ca="1" si="91"/>
        <v>#N/A</v>
      </c>
      <c r="P461" s="35" t="e">
        <f t="shared" ca="1" si="99"/>
        <v>#N/A</v>
      </c>
      <c r="Q461" s="59" t="e">
        <f t="shared" ca="1" si="93"/>
        <v>#N/A</v>
      </c>
      <c r="R461" s="44" t="e">
        <f t="shared" ca="1" si="94"/>
        <v>#N/A</v>
      </c>
      <c r="S461" s="37" t="e">
        <f ca="1">IF(P461="","",IF(P461="Total",SUM($S$19:S460),VLOOKUP($P461,$B$12:$L515,11,FALSE)))</f>
        <v>#N/A</v>
      </c>
      <c r="T461" s="44" t="e">
        <f ca="1">IF(payfreq="Annually",IF(P461="","",IF(P461="Total",SUM($T$19:T460),Adj_Rate*$R461)),IF(payfreq="Semiannually",IF(P461="","",IF(P461="Total",SUM($T$19:T460),Adj_Rate/2*$R461)),IF(payfreq="Quarterly",IF(P461="","",IF(P461="Total",SUM($T$19:T460),Adj_Rate/4*$R461)),IF(payfreq="Monthly",IF(P461="","",IF(P461="Total",SUM($T$19:T460),Adj_Rate/12*$R461)),""))))</f>
        <v>#N/A</v>
      </c>
      <c r="U461" s="37" t="e">
        <f t="shared" ca="1" si="95"/>
        <v>#N/A</v>
      </c>
      <c r="V461" s="44" t="e">
        <f t="shared" ca="1" si="96"/>
        <v>#N/A</v>
      </c>
    </row>
    <row r="462" spans="2:22">
      <c r="B462" s="38" t="e">
        <f t="shared" ca="1" si="97"/>
        <v>#N/A</v>
      </c>
      <c r="C462" s="77" t="e">
        <f t="shared" ca="1" si="98"/>
        <v>#N/A</v>
      </c>
      <c r="D462" s="78" t="e">
        <f ca="1">+IF(AND(B462&lt;$G$7),VLOOKUP($B$1,Inventory!$A$1:$BC$500,35,FALSE),IF(AND(B462=$G$7,pmt_timing="End"),VLOOKUP($B$1,Inventory!$A$1:$BC$500,35,FALSE),0))</f>
        <v>#N/A</v>
      </c>
      <c r="E462" s="78">
        <v>0</v>
      </c>
      <c r="F462" s="78">
        <v>0</v>
      </c>
      <c r="G462" s="78">
        <v>0</v>
      </c>
      <c r="H462" s="78">
        <v>0</v>
      </c>
      <c r="I462" s="78">
        <v>0</v>
      </c>
      <c r="J462" s="78">
        <v>0</v>
      </c>
      <c r="K462" s="78">
        <v>0</v>
      </c>
      <c r="L462" s="36" t="e">
        <f t="shared" ca="1" si="92"/>
        <v>#N/A</v>
      </c>
      <c r="M462" s="37" t="e">
        <f t="shared" ca="1" si="90"/>
        <v>#N/A</v>
      </c>
      <c r="N462" s="37" t="e">
        <f t="shared" ca="1" si="91"/>
        <v>#N/A</v>
      </c>
      <c r="P462" s="35" t="e">
        <f t="shared" ca="1" si="99"/>
        <v>#N/A</v>
      </c>
      <c r="Q462" s="59" t="e">
        <f t="shared" ca="1" si="93"/>
        <v>#N/A</v>
      </c>
      <c r="R462" s="44" t="e">
        <f t="shared" ca="1" si="94"/>
        <v>#N/A</v>
      </c>
      <c r="S462" s="37" t="e">
        <f ca="1">IF(P462="","",IF(P462="Total",SUM($S$19:S461),VLOOKUP($P462,$B$12:$L516,11,FALSE)))</f>
        <v>#N/A</v>
      </c>
      <c r="T462" s="44" t="e">
        <f ca="1">IF(payfreq="Annually",IF(P462="","",IF(P462="Total",SUM($T$19:T461),Adj_Rate*$R462)),IF(payfreq="Semiannually",IF(P462="","",IF(P462="Total",SUM($T$19:T461),Adj_Rate/2*$R462)),IF(payfreq="Quarterly",IF(P462="","",IF(P462="Total",SUM($T$19:T461),Adj_Rate/4*$R462)),IF(payfreq="Monthly",IF(P462="","",IF(P462="Total",SUM($T$19:T461),Adj_Rate/12*$R462)),""))))</f>
        <v>#N/A</v>
      </c>
      <c r="U462" s="37" t="e">
        <f t="shared" ca="1" si="95"/>
        <v>#N/A</v>
      </c>
      <c r="V462" s="44" t="e">
        <f t="shared" ca="1" si="96"/>
        <v>#N/A</v>
      </c>
    </row>
    <row r="463" spans="2:22">
      <c r="B463" s="38" t="e">
        <f t="shared" ca="1" si="97"/>
        <v>#N/A</v>
      </c>
      <c r="C463" s="77" t="e">
        <f t="shared" ca="1" si="98"/>
        <v>#N/A</v>
      </c>
      <c r="D463" s="78" t="e">
        <f ca="1">+IF(AND(B463&lt;$G$7),VLOOKUP($B$1,Inventory!$A$1:$BC$500,35,FALSE),IF(AND(B463=$G$7,pmt_timing="End"),VLOOKUP($B$1,Inventory!$A$1:$BC$500,35,FALSE),0))</f>
        <v>#N/A</v>
      </c>
      <c r="E463" s="78">
        <v>0</v>
      </c>
      <c r="F463" s="78">
        <v>0</v>
      </c>
      <c r="G463" s="78">
        <v>0</v>
      </c>
      <c r="H463" s="78">
        <v>0</v>
      </c>
      <c r="I463" s="78">
        <v>0</v>
      </c>
      <c r="J463" s="78">
        <v>0</v>
      </c>
      <c r="K463" s="78">
        <v>0</v>
      </c>
      <c r="L463" s="36" t="e">
        <f t="shared" ca="1" si="92"/>
        <v>#N/A</v>
      </c>
      <c r="M463" s="37" t="e">
        <f t="shared" ca="1" si="90"/>
        <v>#N/A</v>
      </c>
      <c r="N463" s="37" t="e">
        <f t="shared" ca="1" si="91"/>
        <v>#N/A</v>
      </c>
      <c r="P463" s="35" t="e">
        <f t="shared" ca="1" si="99"/>
        <v>#N/A</v>
      </c>
      <c r="Q463" s="59" t="e">
        <f t="shared" ca="1" si="93"/>
        <v>#N/A</v>
      </c>
      <c r="R463" s="44" t="e">
        <f t="shared" ca="1" si="94"/>
        <v>#N/A</v>
      </c>
      <c r="S463" s="37" t="e">
        <f ca="1">IF(P463="","",IF(P463="Total",SUM($S$19:S462),VLOOKUP($P463,$B$12:$L517,11,FALSE)))</f>
        <v>#N/A</v>
      </c>
      <c r="T463" s="44" t="e">
        <f ca="1">IF(payfreq="Annually",IF(P463="","",IF(P463="Total",SUM($T$19:T462),Adj_Rate*$R463)),IF(payfreq="Semiannually",IF(P463="","",IF(P463="Total",SUM($T$19:T462),Adj_Rate/2*$R463)),IF(payfreq="Quarterly",IF(P463="","",IF(P463="Total",SUM($T$19:T462),Adj_Rate/4*$R463)),IF(payfreq="Monthly",IF(P463="","",IF(P463="Total",SUM($T$19:T462),Adj_Rate/12*$R463)),""))))</f>
        <v>#N/A</v>
      </c>
      <c r="U463" s="37" t="e">
        <f t="shared" ca="1" si="95"/>
        <v>#N/A</v>
      </c>
      <c r="V463" s="44" t="e">
        <f t="shared" ca="1" si="96"/>
        <v>#N/A</v>
      </c>
    </row>
    <row r="464" spans="2:22">
      <c r="B464" s="38" t="e">
        <f t="shared" ca="1" si="97"/>
        <v>#N/A</v>
      </c>
      <c r="C464" s="77" t="e">
        <f t="shared" ca="1" si="98"/>
        <v>#N/A</v>
      </c>
      <c r="D464" s="78" t="e">
        <f ca="1">+IF(AND(B464&lt;$G$7),VLOOKUP($B$1,Inventory!$A$1:$BC$500,35,FALSE),IF(AND(B464=$G$7,pmt_timing="End"),VLOOKUP($B$1,Inventory!$A$1:$BC$500,35,FALSE),0))</f>
        <v>#N/A</v>
      </c>
      <c r="E464" s="78">
        <v>0</v>
      </c>
      <c r="F464" s="78">
        <v>0</v>
      </c>
      <c r="G464" s="78">
        <v>0</v>
      </c>
      <c r="H464" s="78">
        <v>0</v>
      </c>
      <c r="I464" s="78">
        <v>0</v>
      </c>
      <c r="J464" s="78">
        <v>0</v>
      </c>
      <c r="K464" s="78">
        <v>0</v>
      </c>
      <c r="L464" s="36" t="e">
        <f t="shared" ca="1" si="92"/>
        <v>#N/A</v>
      </c>
      <c r="M464" s="37" t="e">
        <f t="shared" ca="1" si="90"/>
        <v>#N/A</v>
      </c>
      <c r="N464" s="37" t="e">
        <f t="shared" ca="1" si="91"/>
        <v>#N/A</v>
      </c>
      <c r="P464" s="35" t="e">
        <f t="shared" ca="1" si="99"/>
        <v>#N/A</v>
      </c>
      <c r="Q464" s="59" t="e">
        <f t="shared" ca="1" si="93"/>
        <v>#N/A</v>
      </c>
      <c r="R464" s="44" t="e">
        <f t="shared" ca="1" si="94"/>
        <v>#N/A</v>
      </c>
      <c r="S464" s="37" t="e">
        <f ca="1">IF(P464="","",IF(P464="Total",SUM($S$19:S463),VLOOKUP($P464,$B$12:$L518,11,FALSE)))</f>
        <v>#N/A</v>
      </c>
      <c r="T464" s="44" t="e">
        <f ca="1">IF(payfreq="Annually",IF(P464="","",IF(P464="Total",SUM($T$19:T463),Adj_Rate*$R464)),IF(payfreq="Semiannually",IF(P464="","",IF(P464="Total",SUM($T$19:T463),Adj_Rate/2*$R464)),IF(payfreq="Quarterly",IF(P464="","",IF(P464="Total",SUM($T$19:T463),Adj_Rate/4*$R464)),IF(payfreq="Monthly",IF(P464="","",IF(P464="Total",SUM($T$19:T463),Adj_Rate/12*$R464)),""))))</f>
        <v>#N/A</v>
      </c>
      <c r="U464" s="37" t="e">
        <f t="shared" ca="1" si="95"/>
        <v>#N/A</v>
      </c>
      <c r="V464" s="44" t="e">
        <f t="shared" ca="1" si="96"/>
        <v>#N/A</v>
      </c>
    </row>
    <row r="465" spans="2:22">
      <c r="B465" s="38" t="e">
        <f t="shared" ca="1" si="97"/>
        <v>#N/A</v>
      </c>
      <c r="C465" s="77" t="e">
        <f t="shared" ca="1" si="98"/>
        <v>#N/A</v>
      </c>
      <c r="D465" s="78" t="e">
        <f ca="1">+IF(AND(B465&lt;$G$7),VLOOKUP($B$1,Inventory!$A$1:$BC$500,35,FALSE),IF(AND(B465=$G$7,pmt_timing="End"),VLOOKUP($B$1,Inventory!$A$1:$BC$500,35,FALSE),0))</f>
        <v>#N/A</v>
      </c>
      <c r="E465" s="78">
        <v>0</v>
      </c>
      <c r="F465" s="78">
        <v>0</v>
      </c>
      <c r="G465" s="78">
        <v>0</v>
      </c>
      <c r="H465" s="78">
        <v>0</v>
      </c>
      <c r="I465" s="78">
        <v>0</v>
      </c>
      <c r="J465" s="78">
        <v>0</v>
      </c>
      <c r="K465" s="78">
        <v>0</v>
      </c>
      <c r="L465" s="36" t="e">
        <f t="shared" ca="1" si="92"/>
        <v>#N/A</v>
      </c>
      <c r="M465" s="37" t="e">
        <f t="shared" ca="1" si="90"/>
        <v>#N/A</v>
      </c>
      <c r="N465" s="37" t="e">
        <f t="shared" ca="1" si="91"/>
        <v>#N/A</v>
      </c>
      <c r="P465" s="35" t="e">
        <f t="shared" ca="1" si="99"/>
        <v>#N/A</v>
      </c>
      <c r="Q465" s="59" t="e">
        <f t="shared" ca="1" si="93"/>
        <v>#N/A</v>
      </c>
      <c r="R465" s="44" t="e">
        <f t="shared" ca="1" si="94"/>
        <v>#N/A</v>
      </c>
      <c r="S465" s="37" t="e">
        <f ca="1">IF(P465="","",IF(P465="Total",SUM($S$19:S464),VLOOKUP($P465,$B$12:$L519,11,FALSE)))</f>
        <v>#N/A</v>
      </c>
      <c r="T465" s="44" t="e">
        <f ca="1">IF(payfreq="Annually",IF(P465="","",IF(P465="Total",SUM($T$19:T464),Adj_Rate*$R465)),IF(payfreq="Semiannually",IF(P465="","",IF(P465="Total",SUM($T$19:T464),Adj_Rate/2*$R465)),IF(payfreq="Quarterly",IF(P465="","",IF(P465="Total",SUM($T$19:T464),Adj_Rate/4*$R465)),IF(payfreq="Monthly",IF(P465="","",IF(P465="Total",SUM($T$19:T464),Adj_Rate/12*$R465)),""))))</f>
        <v>#N/A</v>
      </c>
      <c r="U465" s="37" t="e">
        <f t="shared" ca="1" si="95"/>
        <v>#N/A</v>
      </c>
      <c r="V465" s="44" t="e">
        <f t="shared" ca="1" si="96"/>
        <v>#N/A</v>
      </c>
    </row>
    <row r="466" spans="2:22">
      <c r="B466" s="38" t="e">
        <f t="shared" ca="1" si="97"/>
        <v>#N/A</v>
      </c>
      <c r="C466" s="77" t="e">
        <f t="shared" ca="1" si="98"/>
        <v>#N/A</v>
      </c>
      <c r="D466" s="78" t="e">
        <f ca="1">+IF(AND(B466&lt;$G$7),VLOOKUP($B$1,Inventory!$A$1:$BC$500,35,FALSE),IF(AND(B466=$G$7,pmt_timing="End"),VLOOKUP($B$1,Inventory!$A$1:$BC$500,35,FALSE),0))</f>
        <v>#N/A</v>
      </c>
      <c r="E466" s="78">
        <v>0</v>
      </c>
      <c r="F466" s="78">
        <v>0</v>
      </c>
      <c r="G466" s="78">
        <v>0</v>
      </c>
      <c r="H466" s="78">
        <v>0</v>
      </c>
      <c r="I466" s="78">
        <v>0</v>
      </c>
      <c r="J466" s="78">
        <v>0</v>
      </c>
      <c r="K466" s="78">
        <v>0</v>
      </c>
      <c r="L466" s="36" t="e">
        <f t="shared" ca="1" si="92"/>
        <v>#N/A</v>
      </c>
      <c r="M466" s="37" t="e">
        <f t="shared" ref="M466:M529" ca="1" si="100">IF(pmt_timing="End",IF($B466&gt;term, "",$L466/(1+Adj_Rate/12)^B466),"")</f>
        <v>#N/A</v>
      </c>
      <c r="N466" s="37" t="e">
        <f t="shared" ca="1" si="91"/>
        <v>#N/A</v>
      </c>
      <c r="P466" s="35" t="e">
        <f t="shared" ca="1" si="99"/>
        <v>#N/A</v>
      </c>
      <c r="Q466" s="59" t="e">
        <f t="shared" ca="1" si="93"/>
        <v>#N/A</v>
      </c>
      <c r="R466" s="44" t="e">
        <f t="shared" ca="1" si="94"/>
        <v>#N/A</v>
      </c>
      <c r="S466" s="37" t="e">
        <f ca="1">IF(P466="","",IF(P466="Total",SUM($S$19:S465),VLOOKUP($P466,$B$12:$L520,11,FALSE)))</f>
        <v>#N/A</v>
      </c>
      <c r="T466" s="44" t="e">
        <f ca="1">IF(payfreq="Annually",IF(P466="","",IF(P466="Total",SUM($T$19:T465),Adj_Rate*$R466)),IF(payfreq="Semiannually",IF(P466="","",IF(P466="Total",SUM($T$19:T465),Adj_Rate/2*$R466)),IF(payfreq="Quarterly",IF(P466="","",IF(P466="Total",SUM($T$19:T465),Adj_Rate/4*$R466)),IF(payfreq="Monthly",IF(P466="","",IF(P466="Total",SUM($T$19:T465),Adj_Rate/12*$R466)),""))))</f>
        <v>#N/A</v>
      </c>
      <c r="U466" s="37" t="e">
        <f t="shared" ca="1" si="95"/>
        <v>#N/A</v>
      </c>
      <c r="V466" s="44" t="e">
        <f t="shared" ca="1" si="96"/>
        <v>#N/A</v>
      </c>
    </row>
    <row r="467" spans="2:22">
      <c r="B467" s="38" t="e">
        <f t="shared" ca="1" si="97"/>
        <v>#N/A</v>
      </c>
      <c r="C467" s="77" t="e">
        <f t="shared" ca="1" si="98"/>
        <v>#N/A</v>
      </c>
      <c r="D467" s="78" t="e">
        <f ca="1">+IF(AND(B467&lt;$G$7),VLOOKUP($B$1,Inventory!$A$1:$BC$500,35,FALSE),IF(AND(B467=$G$7,pmt_timing="End"),VLOOKUP($B$1,Inventory!$A$1:$BC$500,35,FALSE),0))</f>
        <v>#N/A</v>
      </c>
      <c r="E467" s="78">
        <v>0</v>
      </c>
      <c r="F467" s="78">
        <v>0</v>
      </c>
      <c r="G467" s="78">
        <v>0</v>
      </c>
      <c r="H467" s="78">
        <v>0</v>
      </c>
      <c r="I467" s="78">
        <v>0</v>
      </c>
      <c r="J467" s="78">
        <v>0</v>
      </c>
      <c r="K467" s="78">
        <v>0</v>
      </c>
      <c r="L467" s="36" t="e">
        <f t="shared" ca="1" si="92"/>
        <v>#N/A</v>
      </c>
      <c r="M467" s="37" t="e">
        <f t="shared" ca="1" si="100"/>
        <v>#N/A</v>
      </c>
      <c r="N467" s="37" t="e">
        <f t="shared" ref="N467:N530" ca="1" si="101">IF(AND(payfreq="Annually",pmt_timing="Beginning",$B467&lt;=term),$L467/(1+Adj_Rate)^($B467),IF(AND(payfreq="Semiannually",pmt_timing="Beginning",$B467&lt;=term),$L467/(1+Adj_Rate/2)^($B467),IF(AND(payfreq="Quarterly",pmt_timing="Beginning",$B467&lt;=term),$L467/(1+Adj_Rate/4)^($B467),IF(AND(payfreq="Monthly",pmt_timing="Beginning",$B467&lt;=term),$L467/(1+Adj_Rate/12)^($B467),""))))</f>
        <v>#N/A</v>
      </c>
      <c r="P467" s="35" t="e">
        <f t="shared" ca="1" si="99"/>
        <v>#N/A</v>
      </c>
      <c r="Q467" s="59" t="e">
        <f t="shared" ca="1" si="93"/>
        <v>#N/A</v>
      </c>
      <c r="R467" s="44" t="e">
        <f t="shared" ca="1" si="94"/>
        <v>#N/A</v>
      </c>
      <c r="S467" s="37" t="e">
        <f ca="1">IF(P467="","",IF(P467="Total",SUM($S$19:S466),VLOOKUP($P467,$B$12:$L521,11,FALSE)))</f>
        <v>#N/A</v>
      </c>
      <c r="T467" s="44" t="e">
        <f ca="1">IF(payfreq="Annually",IF(P467="","",IF(P467="Total",SUM($T$19:T466),Adj_Rate*$R467)),IF(payfreq="Semiannually",IF(P467="","",IF(P467="Total",SUM($T$19:T466),Adj_Rate/2*$R467)),IF(payfreq="Quarterly",IF(P467="","",IF(P467="Total",SUM($T$19:T466),Adj_Rate/4*$R467)),IF(payfreq="Monthly",IF(P467="","",IF(P467="Total",SUM($T$19:T466),Adj_Rate/12*$R467)),""))))</f>
        <v>#N/A</v>
      </c>
      <c r="U467" s="37" t="e">
        <f t="shared" ca="1" si="95"/>
        <v>#N/A</v>
      </c>
      <c r="V467" s="44" t="e">
        <f t="shared" ca="1" si="96"/>
        <v>#N/A</v>
      </c>
    </row>
    <row r="468" spans="2:22">
      <c r="B468" s="38" t="e">
        <f t="shared" ca="1" si="97"/>
        <v>#N/A</v>
      </c>
      <c r="C468" s="77" t="e">
        <f t="shared" ca="1" si="98"/>
        <v>#N/A</v>
      </c>
      <c r="D468" s="78" t="e">
        <f ca="1">+IF(AND(B468&lt;$G$7),VLOOKUP($B$1,Inventory!$A$1:$BC$500,35,FALSE),IF(AND(B468=$G$7,pmt_timing="End"),VLOOKUP($B$1,Inventory!$A$1:$BC$500,35,FALSE),0))</f>
        <v>#N/A</v>
      </c>
      <c r="E468" s="78">
        <v>0</v>
      </c>
      <c r="F468" s="78">
        <v>0</v>
      </c>
      <c r="G468" s="78">
        <v>0</v>
      </c>
      <c r="H468" s="78">
        <v>0</v>
      </c>
      <c r="I468" s="78">
        <v>0</v>
      </c>
      <c r="J468" s="78">
        <v>0</v>
      </c>
      <c r="K468" s="78">
        <v>0</v>
      </c>
      <c r="L468" s="36" t="e">
        <f t="shared" ref="L468:L531" ca="1" si="102">SUM(D468:K468)</f>
        <v>#N/A</v>
      </c>
      <c r="M468" s="37" t="e">
        <f t="shared" ca="1" si="100"/>
        <v>#N/A</v>
      </c>
      <c r="N468" s="37" t="e">
        <f t="shared" ca="1" si="101"/>
        <v>#N/A</v>
      </c>
      <c r="P468" s="35" t="e">
        <f t="shared" ca="1" si="99"/>
        <v>#N/A</v>
      </c>
      <c r="Q468" s="59" t="e">
        <f t="shared" ref="Q468:Q531" ca="1" si="103">IF(P468="","",IF(P468="total","",IF(payfreq="Annually",DATE(YEAR(Q467)+1,MONTH(Q467),DAY(Q467)),IF(payfreq="Semiannually",DATE(YEAR(Q467),MONTH(Q467)+6,DAY(Q467)),IF(payfreq="Quarterly",DATE(YEAR(Q467),MONTH(Q467)+3,DAY(Q467)),IF(payfreq="Monthly",DATE(YEAR(Q467),MONTH(Q467)+1,DAY(Q467))))))))</f>
        <v>#N/A</v>
      </c>
      <c r="R468" s="44" t="e">
        <f t="shared" ref="R468:R531" ca="1" si="104">IF(OR(P468="",P468="Total"),"",V467)</f>
        <v>#N/A</v>
      </c>
      <c r="S468" s="37" t="e">
        <f ca="1">IF(P468="","",IF(P468="Total",SUM($S$19:S467),VLOOKUP($P468,$B$12:$L522,11,FALSE)))</f>
        <v>#N/A</v>
      </c>
      <c r="T468" s="44" t="e">
        <f ca="1">IF(payfreq="Annually",IF(P468="","",IF(P468="Total",SUM($T$19:T467),Adj_Rate*$R468)),IF(payfreq="Semiannually",IF(P468="","",IF(P468="Total",SUM($T$19:T467),Adj_Rate/2*$R468)),IF(payfreq="Quarterly",IF(P468="","",IF(P468="Total",SUM($T$19:T467),Adj_Rate/4*$R468)),IF(payfreq="Monthly",IF(P468="","",IF(P468="Total",SUM($T$19:T467),Adj_Rate/12*$R468)),""))))</f>
        <v>#N/A</v>
      </c>
      <c r="U468" s="37" t="e">
        <f t="shared" ref="U468:U531" ca="1" si="105">+IF(S468="","",S468-T468)</f>
        <v>#N/A</v>
      </c>
      <c r="V468" s="44" t="e">
        <f t="shared" ref="V468:V531" ca="1" si="106">IF(OR(P468="",P468="Total"),"",R468+T468-S468)</f>
        <v>#N/A</v>
      </c>
    </row>
    <row r="469" spans="2:22">
      <c r="B469" s="38" t="e">
        <f t="shared" ref="B469:B532" ca="1" si="107">IF(B468&lt;term,B468+1,"")</f>
        <v>#N/A</v>
      </c>
      <c r="C469" s="77" t="e">
        <f t="shared" ref="C469:C532" ca="1" si="108">IF(Q469 &lt;&gt; "",Q469, "")</f>
        <v>#N/A</v>
      </c>
      <c r="D469" s="78" t="e">
        <f ca="1">+IF(AND(B469&lt;$G$7),VLOOKUP($B$1,Inventory!$A$1:$BC$500,35,FALSE),IF(AND(B469=$G$7,pmt_timing="End"),VLOOKUP($B$1,Inventory!$A$1:$BC$500,35,FALSE),0))</f>
        <v>#N/A</v>
      </c>
      <c r="E469" s="78">
        <v>0</v>
      </c>
      <c r="F469" s="78">
        <v>0</v>
      </c>
      <c r="G469" s="78">
        <v>0</v>
      </c>
      <c r="H469" s="78">
        <v>0</v>
      </c>
      <c r="I469" s="78">
        <v>0</v>
      </c>
      <c r="J469" s="78">
        <v>0</v>
      </c>
      <c r="K469" s="78">
        <v>0</v>
      </c>
      <c r="L469" s="36" t="e">
        <f t="shared" ca="1" si="102"/>
        <v>#N/A</v>
      </c>
      <c r="M469" s="37" t="e">
        <f t="shared" ca="1" si="100"/>
        <v>#N/A</v>
      </c>
      <c r="N469" s="37" t="e">
        <f t="shared" ca="1" si="101"/>
        <v>#N/A</v>
      </c>
      <c r="P469" s="35" t="e">
        <f t="shared" ref="P469:P532" ca="1" si="109">IF(P468&lt;term,P468+1,IF(P468=term,"Total",""))</f>
        <v>#N/A</v>
      </c>
      <c r="Q469" s="59" t="e">
        <f t="shared" ca="1" si="103"/>
        <v>#N/A</v>
      </c>
      <c r="R469" s="44" t="e">
        <f t="shared" ca="1" si="104"/>
        <v>#N/A</v>
      </c>
      <c r="S469" s="37" t="e">
        <f ca="1">IF(P469="","",IF(P469="Total",SUM($S$19:S468),VLOOKUP($P469,$B$12:$L523,11,FALSE)))</f>
        <v>#N/A</v>
      </c>
      <c r="T469" s="44" t="e">
        <f ca="1">IF(payfreq="Annually",IF(P469="","",IF(P469="Total",SUM($T$19:T468),Adj_Rate*$R469)),IF(payfreq="Semiannually",IF(P469="","",IF(P469="Total",SUM($T$19:T468),Adj_Rate/2*$R469)),IF(payfreq="Quarterly",IF(P469="","",IF(P469="Total",SUM($T$19:T468),Adj_Rate/4*$R469)),IF(payfreq="Monthly",IF(P469="","",IF(P469="Total",SUM($T$19:T468),Adj_Rate/12*$R469)),""))))</f>
        <v>#N/A</v>
      </c>
      <c r="U469" s="37" t="e">
        <f t="shared" ca="1" si="105"/>
        <v>#N/A</v>
      </c>
      <c r="V469" s="44" t="e">
        <f t="shared" ca="1" si="106"/>
        <v>#N/A</v>
      </c>
    </row>
    <row r="470" spans="2:22">
      <c r="B470" s="38" t="e">
        <f t="shared" ca="1" si="107"/>
        <v>#N/A</v>
      </c>
      <c r="C470" s="77" t="e">
        <f t="shared" ca="1" si="108"/>
        <v>#N/A</v>
      </c>
      <c r="D470" s="78" t="e">
        <f ca="1">+IF(AND(B470&lt;$G$7),VLOOKUP($B$1,Inventory!$A$1:$BC$500,35,FALSE),IF(AND(B470=$G$7,pmt_timing="End"),VLOOKUP($B$1,Inventory!$A$1:$BC$500,35,FALSE),0))</f>
        <v>#N/A</v>
      </c>
      <c r="E470" s="78">
        <v>0</v>
      </c>
      <c r="F470" s="78">
        <v>0</v>
      </c>
      <c r="G470" s="78">
        <v>0</v>
      </c>
      <c r="H470" s="78">
        <v>0</v>
      </c>
      <c r="I470" s="78">
        <v>0</v>
      </c>
      <c r="J470" s="78">
        <v>0</v>
      </c>
      <c r="K470" s="78">
        <v>0</v>
      </c>
      <c r="L470" s="36" t="e">
        <f t="shared" ca="1" si="102"/>
        <v>#N/A</v>
      </c>
      <c r="M470" s="37" t="e">
        <f t="shared" ca="1" si="100"/>
        <v>#N/A</v>
      </c>
      <c r="N470" s="37" t="e">
        <f t="shared" ca="1" si="101"/>
        <v>#N/A</v>
      </c>
      <c r="P470" s="35" t="e">
        <f t="shared" ca="1" si="109"/>
        <v>#N/A</v>
      </c>
      <c r="Q470" s="59" t="e">
        <f t="shared" ca="1" si="103"/>
        <v>#N/A</v>
      </c>
      <c r="R470" s="44" t="e">
        <f t="shared" ca="1" si="104"/>
        <v>#N/A</v>
      </c>
      <c r="S470" s="37" t="e">
        <f ca="1">IF(P470="","",IF(P470="Total",SUM($S$19:S469),VLOOKUP($P470,$B$12:$L524,11,FALSE)))</f>
        <v>#N/A</v>
      </c>
      <c r="T470" s="44" t="e">
        <f ca="1">IF(payfreq="Annually",IF(P470="","",IF(P470="Total",SUM($T$19:T469),Adj_Rate*$R470)),IF(payfreq="Semiannually",IF(P470="","",IF(P470="Total",SUM($T$19:T469),Adj_Rate/2*$R470)),IF(payfreq="Quarterly",IF(P470="","",IF(P470="Total",SUM($T$19:T469),Adj_Rate/4*$R470)),IF(payfreq="Monthly",IF(P470="","",IF(P470="Total",SUM($T$19:T469),Adj_Rate/12*$R470)),""))))</f>
        <v>#N/A</v>
      </c>
      <c r="U470" s="37" t="e">
        <f t="shared" ca="1" si="105"/>
        <v>#N/A</v>
      </c>
      <c r="V470" s="44" t="e">
        <f t="shared" ca="1" si="106"/>
        <v>#N/A</v>
      </c>
    </row>
    <row r="471" spans="2:22">
      <c r="B471" s="38" t="e">
        <f t="shared" ca="1" si="107"/>
        <v>#N/A</v>
      </c>
      <c r="C471" s="77" t="e">
        <f t="shared" ca="1" si="108"/>
        <v>#N/A</v>
      </c>
      <c r="D471" s="78" t="e">
        <f ca="1">+IF(AND(B471&lt;$G$7),VLOOKUP($B$1,Inventory!$A$1:$BC$500,35,FALSE),IF(AND(B471=$G$7,pmt_timing="End"),VLOOKUP($B$1,Inventory!$A$1:$BC$500,35,FALSE),0))</f>
        <v>#N/A</v>
      </c>
      <c r="E471" s="78">
        <v>0</v>
      </c>
      <c r="F471" s="78">
        <v>0</v>
      </c>
      <c r="G471" s="78">
        <v>0</v>
      </c>
      <c r="H471" s="78">
        <v>0</v>
      </c>
      <c r="I471" s="78">
        <v>0</v>
      </c>
      <c r="J471" s="78">
        <v>0</v>
      </c>
      <c r="K471" s="78">
        <v>0</v>
      </c>
      <c r="L471" s="36" t="e">
        <f t="shared" ca="1" si="102"/>
        <v>#N/A</v>
      </c>
      <c r="M471" s="37" t="e">
        <f t="shared" ca="1" si="100"/>
        <v>#N/A</v>
      </c>
      <c r="N471" s="37" t="e">
        <f t="shared" ca="1" si="101"/>
        <v>#N/A</v>
      </c>
      <c r="P471" s="35" t="e">
        <f t="shared" ca="1" si="109"/>
        <v>#N/A</v>
      </c>
      <c r="Q471" s="59" t="e">
        <f t="shared" ca="1" si="103"/>
        <v>#N/A</v>
      </c>
      <c r="R471" s="44" t="e">
        <f t="shared" ca="1" si="104"/>
        <v>#N/A</v>
      </c>
      <c r="S471" s="37" t="e">
        <f ca="1">IF(P471="","",IF(P471="Total",SUM($S$19:S470),VLOOKUP($P471,$B$12:$L525,11,FALSE)))</f>
        <v>#N/A</v>
      </c>
      <c r="T471" s="44" t="e">
        <f ca="1">IF(payfreq="Annually",IF(P471="","",IF(P471="Total",SUM($T$19:T470),Adj_Rate*$R471)),IF(payfreq="Semiannually",IF(P471="","",IF(P471="Total",SUM($T$19:T470),Adj_Rate/2*$R471)),IF(payfreq="Quarterly",IF(P471="","",IF(P471="Total",SUM($T$19:T470),Adj_Rate/4*$R471)),IF(payfreq="Monthly",IF(P471="","",IF(P471="Total",SUM($T$19:T470),Adj_Rate/12*$R471)),""))))</f>
        <v>#N/A</v>
      </c>
      <c r="U471" s="37" t="e">
        <f t="shared" ca="1" si="105"/>
        <v>#N/A</v>
      </c>
      <c r="V471" s="44" t="e">
        <f t="shared" ca="1" si="106"/>
        <v>#N/A</v>
      </c>
    </row>
    <row r="472" spans="2:22">
      <c r="B472" s="38" t="e">
        <f t="shared" ca="1" si="107"/>
        <v>#N/A</v>
      </c>
      <c r="C472" s="77" t="e">
        <f t="shared" ca="1" si="108"/>
        <v>#N/A</v>
      </c>
      <c r="D472" s="78" t="e">
        <f ca="1">+IF(AND(B472&lt;$G$7),VLOOKUP($B$1,Inventory!$A$1:$BC$500,35,FALSE),IF(AND(B472=$G$7,pmt_timing="End"),VLOOKUP($B$1,Inventory!$A$1:$BC$500,35,FALSE),0))</f>
        <v>#N/A</v>
      </c>
      <c r="E472" s="78">
        <v>0</v>
      </c>
      <c r="F472" s="78">
        <v>0</v>
      </c>
      <c r="G472" s="78">
        <v>0</v>
      </c>
      <c r="H472" s="78">
        <v>0</v>
      </c>
      <c r="I472" s="78">
        <v>0</v>
      </c>
      <c r="J472" s="78">
        <v>0</v>
      </c>
      <c r="K472" s="78">
        <v>0</v>
      </c>
      <c r="L472" s="36" t="e">
        <f t="shared" ca="1" si="102"/>
        <v>#N/A</v>
      </c>
      <c r="M472" s="37" t="e">
        <f t="shared" ca="1" si="100"/>
        <v>#N/A</v>
      </c>
      <c r="N472" s="37" t="e">
        <f t="shared" ca="1" si="101"/>
        <v>#N/A</v>
      </c>
      <c r="P472" s="35" t="e">
        <f t="shared" ca="1" si="109"/>
        <v>#N/A</v>
      </c>
      <c r="Q472" s="59" t="e">
        <f t="shared" ca="1" si="103"/>
        <v>#N/A</v>
      </c>
      <c r="R472" s="44" t="e">
        <f t="shared" ca="1" si="104"/>
        <v>#N/A</v>
      </c>
      <c r="S472" s="37" t="e">
        <f ca="1">IF(P472="","",IF(P472="Total",SUM($S$19:S471),VLOOKUP($P472,$B$12:$L526,11,FALSE)))</f>
        <v>#N/A</v>
      </c>
      <c r="T472" s="44" t="e">
        <f ca="1">IF(payfreq="Annually",IF(P472="","",IF(P472="Total",SUM($T$19:T471),Adj_Rate*$R472)),IF(payfreq="Semiannually",IF(P472="","",IF(P472="Total",SUM($T$19:T471),Adj_Rate/2*$R472)),IF(payfreq="Quarterly",IF(P472="","",IF(P472="Total",SUM($T$19:T471),Adj_Rate/4*$R472)),IF(payfreq="Monthly",IF(P472="","",IF(P472="Total",SUM($T$19:T471),Adj_Rate/12*$R472)),""))))</f>
        <v>#N/A</v>
      </c>
      <c r="U472" s="37" t="e">
        <f t="shared" ca="1" si="105"/>
        <v>#N/A</v>
      </c>
      <c r="V472" s="44" t="e">
        <f t="shared" ca="1" si="106"/>
        <v>#N/A</v>
      </c>
    </row>
    <row r="473" spans="2:22">
      <c r="B473" s="38" t="e">
        <f t="shared" ca="1" si="107"/>
        <v>#N/A</v>
      </c>
      <c r="C473" s="77" t="e">
        <f t="shared" ca="1" si="108"/>
        <v>#N/A</v>
      </c>
      <c r="D473" s="78" t="e">
        <f ca="1">+IF(AND(B473&lt;$G$7),VLOOKUP($B$1,Inventory!$A$1:$BC$500,35,FALSE),IF(AND(B473=$G$7,pmt_timing="End"),VLOOKUP($B$1,Inventory!$A$1:$BC$500,35,FALSE),0))</f>
        <v>#N/A</v>
      </c>
      <c r="E473" s="78">
        <v>0</v>
      </c>
      <c r="F473" s="78">
        <v>0</v>
      </c>
      <c r="G473" s="78">
        <v>0</v>
      </c>
      <c r="H473" s="78">
        <v>0</v>
      </c>
      <c r="I473" s="78">
        <v>0</v>
      </c>
      <c r="J473" s="78">
        <v>0</v>
      </c>
      <c r="K473" s="78">
        <v>0</v>
      </c>
      <c r="L473" s="36" t="e">
        <f t="shared" ca="1" si="102"/>
        <v>#N/A</v>
      </c>
      <c r="M473" s="37" t="e">
        <f t="shared" ca="1" si="100"/>
        <v>#N/A</v>
      </c>
      <c r="N473" s="37" t="e">
        <f t="shared" ca="1" si="101"/>
        <v>#N/A</v>
      </c>
      <c r="P473" s="35" t="e">
        <f t="shared" ca="1" si="109"/>
        <v>#N/A</v>
      </c>
      <c r="Q473" s="59" t="e">
        <f t="shared" ca="1" si="103"/>
        <v>#N/A</v>
      </c>
      <c r="R473" s="44" t="e">
        <f t="shared" ca="1" si="104"/>
        <v>#N/A</v>
      </c>
      <c r="S473" s="37" t="e">
        <f ca="1">IF(P473="","",IF(P473="Total",SUM($S$19:S472),VLOOKUP($P473,$B$12:$L527,11,FALSE)))</f>
        <v>#N/A</v>
      </c>
      <c r="T473" s="44" t="e">
        <f ca="1">IF(payfreq="Annually",IF(P473="","",IF(P473="Total",SUM($T$19:T472),Adj_Rate*$R473)),IF(payfreq="Semiannually",IF(P473="","",IF(P473="Total",SUM($T$19:T472),Adj_Rate/2*$R473)),IF(payfreq="Quarterly",IF(P473="","",IF(P473="Total",SUM($T$19:T472),Adj_Rate/4*$R473)),IF(payfreq="Monthly",IF(P473="","",IF(P473="Total",SUM($T$19:T472),Adj_Rate/12*$R473)),""))))</f>
        <v>#N/A</v>
      </c>
      <c r="U473" s="37" t="e">
        <f t="shared" ca="1" si="105"/>
        <v>#N/A</v>
      </c>
      <c r="V473" s="44" t="e">
        <f t="shared" ca="1" si="106"/>
        <v>#N/A</v>
      </c>
    </row>
    <row r="474" spans="2:22">
      <c r="B474" s="38" t="e">
        <f t="shared" ca="1" si="107"/>
        <v>#N/A</v>
      </c>
      <c r="C474" s="77" t="e">
        <f t="shared" ca="1" si="108"/>
        <v>#N/A</v>
      </c>
      <c r="D474" s="78" t="e">
        <f ca="1">+IF(AND(B474&lt;$G$7),VLOOKUP($B$1,Inventory!$A$1:$BC$500,35,FALSE),IF(AND(B474=$G$7,pmt_timing="End"),VLOOKUP($B$1,Inventory!$A$1:$BC$500,35,FALSE),0))</f>
        <v>#N/A</v>
      </c>
      <c r="E474" s="78">
        <v>0</v>
      </c>
      <c r="F474" s="78">
        <v>0</v>
      </c>
      <c r="G474" s="78">
        <v>0</v>
      </c>
      <c r="H474" s="78">
        <v>0</v>
      </c>
      <c r="I474" s="78">
        <v>0</v>
      </c>
      <c r="J474" s="78">
        <v>0</v>
      </c>
      <c r="K474" s="78">
        <v>0</v>
      </c>
      <c r="L474" s="36" t="e">
        <f t="shared" ca="1" si="102"/>
        <v>#N/A</v>
      </c>
      <c r="M474" s="37" t="e">
        <f t="shared" ca="1" si="100"/>
        <v>#N/A</v>
      </c>
      <c r="N474" s="37" t="e">
        <f t="shared" ca="1" si="101"/>
        <v>#N/A</v>
      </c>
      <c r="P474" s="35" t="e">
        <f t="shared" ca="1" si="109"/>
        <v>#N/A</v>
      </c>
      <c r="Q474" s="59" t="e">
        <f t="shared" ca="1" si="103"/>
        <v>#N/A</v>
      </c>
      <c r="R474" s="44" t="e">
        <f t="shared" ca="1" si="104"/>
        <v>#N/A</v>
      </c>
      <c r="S474" s="37" t="e">
        <f ca="1">IF(P474="","",IF(P474="Total",SUM($S$19:S473),VLOOKUP($P474,$B$12:$L528,11,FALSE)))</f>
        <v>#N/A</v>
      </c>
      <c r="T474" s="44" t="e">
        <f ca="1">IF(payfreq="Annually",IF(P474="","",IF(P474="Total",SUM($T$19:T473),Adj_Rate*$R474)),IF(payfreq="Semiannually",IF(P474="","",IF(P474="Total",SUM($T$19:T473),Adj_Rate/2*$R474)),IF(payfreq="Quarterly",IF(P474="","",IF(P474="Total",SUM($T$19:T473),Adj_Rate/4*$R474)),IF(payfreq="Monthly",IF(P474="","",IF(P474="Total",SUM($T$19:T473),Adj_Rate/12*$R474)),""))))</f>
        <v>#N/A</v>
      </c>
      <c r="U474" s="37" t="e">
        <f t="shared" ca="1" si="105"/>
        <v>#N/A</v>
      </c>
      <c r="V474" s="44" t="e">
        <f t="shared" ca="1" si="106"/>
        <v>#N/A</v>
      </c>
    </row>
    <row r="475" spans="2:22">
      <c r="B475" s="38" t="e">
        <f t="shared" ca="1" si="107"/>
        <v>#N/A</v>
      </c>
      <c r="C475" s="77" t="e">
        <f t="shared" ca="1" si="108"/>
        <v>#N/A</v>
      </c>
      <c r="D475" s="78" t="e">
        <f ca="1">+IF(AND(B475&lt;$G$7),VLOOKUP($B$1,Inventory!$A$1:$BC$500,35,FALSE),IF(AND(B475=$G$7,pmt_timing="End"),VLOOKUP($B$1,Inventory!$A$1:$BC$500,35,FALSE),0))</f>
        <v>#N/A</v>
      </c>
      <c r="E475" s="78">
        <v>0</v>
      </c>
      <c r="F475" s="78">
        <v>0</v>
      </c>
      <c r="G475" s="78">
        <v>0</v>
      </c>
      <c r="H475" s="78">
        <v>0</v>
      </c>
      <c r="I475" s="78">
        <v>0</v>
      </c>
      <c r="J475" s="78">
        <v>0</v>
      </c>
      <c r="K475" s="78">
        <v>0</v>
      </c>
      <c r="L475" s="36" t="e">
        <f t="shared" ca="1" si="102"/>
        <v>#N/A</v>
      </c>
      <c r="M475" s="37" t="e">
        <f t="shared" ca="1" si="100"/>
        <v>#N/A</v>
      </c>
      <c r="N475" s="37" t="e">
        <f t="shared" ca="1" si="101"/>
        <v>#N/A</v>
      </c>
      <c r="P475" s="35" t="e">
        <f t="shared" ca="1" si="109"/>
        <v>#N/A</v>
      </c>
      <c r="Q475" s="59" t="e">
        <f t="shared" ca="1" si="103"/>
        <v>#N/A</v>
      </c>
      <c r="R475" s="44" t="e">
        <f t="shared" ca="1" si="104"/>
        <v>#N/A</v>
      </c>
      <c r="S475" s="37" t="e">
        <f ca="1">IF(P475="","",IF(P475="Total",SUM($S$19:S474),VLOOKUP($P475,$B$12:$L529,11,FALSE)))</f>
        <v>#N/A</v>
      </c>
      <c r="T475" s="44" t="e">
        <f ca="1">IF(payfreq="Annually",IF(P475="","",IF(P475="Total",SUM($T$19:T474),Adj_Rate*$R475)),IF(payfreq="Semiannually",IF(P475="","",IF(P475="Total",SUM($T$19:T474),Adj_Rate/2*$R475)),IF(payfreq="Quarterly",IF(P475="","",IF(P475="Total",SUM($T$19:T474),Adj_Rate/4*$R475)),IF(payfreq="Monthly",IF(P475="","",IF(P475="Total",SUM($T$19:T474),Adj_Rate/12*$R475)),""))))</f>
        <v>#N/A</v>
      </c>
      <c r="U475" s="37" t="e">
        <f t="shared" ca="1" si="105"/>
        <v>#N/A</v>
      </c>
      <c r="V475" s="44" t="e">
        <f t="shared" ca="1" si="106"/>
        <v>#N/A</v>
      </c>
    </row>
    <row r="476" spans="2:22">
      <c r="B476" s="38" t="e">
        <f t="shared" ca="1" si="107"/>
        <v>#N/A</v>
      </c>
      <c r="C476" s="77" t="e">
        <f t="shared" ca="1" si="108"/>
        <v>#N/A</v>
      </c>
      <c r="D476" s="78" t="e">
        <f ca="1">+IF(AND(B476&lt;$G$7),VLOOKUP($B$1,Inventory!$A$1:$BC$500,35,FALSE),IF(AND(B476=$G$7,pmt_timing="End"),VLOOKUP($B$1,Inventory!$A$1:$BC$500,35,FALSE),0))</f>
        <v>#N/A</v>
      </c>
      <c r="E476" s="78">
        <v>0</v>
      </c>
      <c r="F476" s="78">
        <v>0</v>
      </c>
      <c r="G476" s="78">
        <v>0</v>
      </c>
      <c r="H476" s="78">
        <v>0</v>
      </c>
      <c r="I476" s="78">
        <v>0</v>
      </c>
      <c r="J476" s="78">
        <v>0</v>
      </c>
      <c r="K476" s="78">
        <v>0</v>
      </c>
      <c r="L476" s="36" t="e">
        <f t="shared" ca="1" si="102"/>
        <v>#N/A</v>
      </c>
      <c r="M476" s="37" t="e">
        <f t="shared" ca="1" si="100"/>
        <v>#N/A</v>
      </c>
      <c r="N476" s="37" t="e">
        <f t="shared" ca="1" si="101"/>
        <v>#N/A</v>
      </c>
      <c r="P476" s="35" t="e">
        <f t="shared" ca="1" si="109"/>
        <v>#N/A</v>
      </c>
      <c r="Q476" s="59" t="e">
        <f t="shared" ca="1" si="103"/>
        <v>#N/A</v>
      </c>
      <c r="R476" s="44" t="e">
        <f t="shared" ca="1" si="104"/>
        <v>#N/A</v>
      </c>
      <c r="S476" s="37" t="e">
        <f ca="1">IF(P476="","",IF(P476="Total",SUM($S$19:S475),VLOOKUP($P476,$B$12:$L530,11,FALSE)))</f>
        <v>#N/A</v>
      </c>
      <c r="T476" s="44" t="e">
        <f ca="1">IF(payfreq="Annually",IF(P476="","",IF(P476="Total",SUM($T$19:T475),Adj_Rate*$R476)),IF(payfreq="Semiannually",IF(P476="","",IF(P476="Total",SUM($T$19:T475),Adj_Rate/2*$R476)),IF(payfreq="Quarterly",IF(P476="","",IF(P476="Total",SUM($T$19:T475),Adj_Rate/4*$R476)),IF(payfreq="Monthly",IF(P476="","",IF(P476="Total",SUM($T$19:T475),Adj_Rate/12*$R476)),""))))</f>
        <v>#N/A</v>
      </c>
      <c r="U476" s="37" t="e">
        <f t="shared" ca="1" si="105"/>
        <v>#N/A</v>
      </c>
      <c r="V476" s="44" t="e">
        <f t="shared" ca="1" si="106"/>
        <v>#N/A</v>
      </c>
    </row>
    <row r="477" spans="2:22">
      <c r="B477" s="38" t="e">
        <f t="shared" ca="1" si="107"/>
        <v>#N/A</v>
      </c>
      <c r="C477" s="77" t="e">
        <f t="shared" ca="1" si="108"/>
        <v>#N/A</v>
      </c>
      <c r="D477" s="78" t="e">
        <f ca="1">+IF(AND(B477&lt;$G$7),VLOOKUP($B$1,Inventory!$A$1:$BC$500,35,FALSE),IF(AND(B477=$G$7,pmt_timing="End"),VLOOKUP($B$1,Inventory!$A$1:$BC$500,35,FALSE),0))</f>
        <v>#N/A</v>
      </c>
      <c r="E477" s="78">
        <v>0</v>
      </c>
      <c r="F477" s="78">
        <v>0</v>
      </c>
      <c r="G477" s="78">
        <v>0</v>
      </c>
      <c r="H477" s="78">
        <v>0</v>
      </c>
      <c r="I477" s="78">
        <v>0</v>
      </c>
      <c r="J477" s="78">
        <v>0</v>
      </c>
      <c r="K477" s="78">
        <v>0</v>
      </c>
      <c r="L477" s="36" t="e">
        <f t="shared" ca="1" si="102"/>
        <v>#N/A</v>
      </c>
      <c r="M477" s="37" t="e">
        <f t="shared" ca="1" si="100"/>
        <v>#N/A</v>
      </c>
      <c r="N477" s="37" t="e">
        <f t="shared" ca="1" si="101"/>
        <v>#N/A</v>
      </c>
      <c r="P477" s="35" t="e">
        <f t="shared" ca="1" si="109"/>
        <v>#N/A</v>
      </c>
      <c r="Q477" s="59" t="e">
        <f t="shared" ca="1" si="103"/>
        <v>#N/A</v>
      </c>
      <c r="R477" s="44" t="e">
        <f t="shared" ca="1" si="104"/>
        <v>#N/A</v>
      </c>
      <c r="S477" s="37" t="e">
        <f ca="1">IF(P477="","",IF(P477="Total",SUM($S$19:S476),VLOOKUP($P477,$B$12:$L531,11,FALSE)))</f>
        <v>#N/A</v>
      </c>
      <c r="T477" s="44" t="e">
        <f ca="1">IF(payfreq="Annually",IF(P477="","",IF(P477="Total",SUM($T$19:T476),Adj_Rate*$R477)),IF(payfreq="Semiannually",IF(P477="","",IF(P477="Total",SUM($T$19:T476),Adj_Rate/2*$R477)),IF(payfreq="Quarterly",IF(P477="","",IF(P477="Total",SUM($T$19:T476),Adj_Rate/4*$R477)),IF(payfreq="Monthly",IF(P477="","",IF(P477="Total",SUM($T$19:T476),Adj_Rate/12*$R477)),""))))</f>
        <v>#N/A</v>
      </c>
      <c r="U477" s="37" t="e">
        <f t="shared" ca="1" si="105"/>
        <v>#N/A</v>
      </c>
      <c r="V477" s="44" t="e">
        <f t="shared" ca="1" si="106"/>
        <v>#N/A</v>
      </c>
    </row>
    <row r="478" spans="2:22">
      <c r="B478" s="38" t="e">
        <f t="shared" ca="1" si="107"/>
        <v>#N/A</v>
      </c>
      <c r="C478" s="77" t="e">
        <f t="shared" ca="1" si="108"/>
        <v>#N/A</v>
      </c>
      <c r="D478" s="78" t="e">
        <f ca="1">+IF(AND(B478&lt;$G$7),VLOOKUP($B$1,Inventory!$A$1:$BC$500,35,FALSE),IF(AND(B478=$G$7,pmt_timing="End"),VLOOKUP($B$1,Inventory!$A$1:$BC$500,35,FALSE),0))</f>
        <v>#N/A</v>
      </c>
      <c r="E478" s="78">
        <v>0</v>
      </c>
      <c r="F478" s="78">
        <v>0</v>
      </c>
      <c r="G478" s="78">
        <v>0</v>
      </c>
      <c r="H478" s="78">
        <v>0</v>
      </c>
      <c r="I478" s="78">
        <v>0</v>
      </c>
      <c r="J478" s="78">
        <v>0</v>
      </c>
      <c r="K478" s="78">
        <v>0</v>
      </c>
      <c r="L478" s="36" t="e">
        <f t="shared" ca="1" si="102"/>
        <v>#N/A</v>
      </c>
      <c r="M478" s="37" t="e">
        <f t="shared" ca="1" si="100"/>
        <v>#N/A</v>
      </c>
      <c r="N478" s="37" t="e">
        <f t="shared" ca="1" si="101"/>
        <v>#N/A</v>
      </c>
      <c r="P478" s="35" t="e">
        <f t="shared" ca="1" si="109"/>
        <v>#N/A</v>
      </c>
      <c r="Q478" s="59" t="e">
        <f t="shared" ca="1" si="103"/>
        <v>#N/A</v>
      </c>
      <c r="R478" s="44" t="e">
        <f t="shared" ca="1" si="104"/>
        <v>#N/A</v>
      </c>
      <c r="S478" s="37" t="e">
        <f ca="1">IF(P478="","",IF(P478="Total",SUM($S$19:S477),VLOOKUP($P478,$B$12:$L532,11,FALSE)))</f>
        <v>#N/A</v>
      </c>
      <c r="T478" s="44" t="e">
        <f ca="1">IF(payfreq="Annually",IF(P478="","",IF(P478="Total",SUM($T$19:T477),Adj_Rate*$R478)),IF(payfreq="Semiannually",IF(P478="","",IF(P478="Total",SUM($T$19:T477),Adj_Rate/2*$R478)),IF(payfreq="Quarterly",IF(P478="","",IF(P478="Total",SUM($T$19:T477),Adj_Rate/4*$R478)),IF(payfreq="Monthly",IF(P478="","",IF(P478="Total",SUM($T$19:T477),Adj_Rate/12*$R478)),""))))</f>
        <v>#N/A</v>
      </c>
      <c r="U478" s="37" t="e">
        <f t="shared" ca="1" si="105"/>
        <v>#N/A</v>
      </c>
      <c r="V478" s="44" t="e">
        <f t="shared" ca="1" si="106"/>
        <v>#N/A</v>
      </c>
    </row>
    <row r="479" spans="2:22">
      <c r="B479" s="38" t="e">
        <f t="shared" ca="1" si="107"/>
        <v>#N/A</v>
      </c>
      <c r="C479" s="77" t="e">
        <f t="shared" ca="1" si="108"/>
        <v>#N/A</v>
      </c>
      <c r="D479" s="78" t="e">
        <f ca="1">+IF(AND(B479&lt;$G$7),VLOOKUP($B$1,Inventory!$A$1:$BC$500,35,FALSE),IF(AND(B479=$G$7,pmt_timing="End"),VLOOKUP($B$1,Inventory!$A$1:$BC$500,35,FALSE),0))</f>
        <v>#N/A</v>
      </c>
      <c r="E479" s="78">
        <v>0</v>
      </c>
      <c r="F479" s="78">
        <v>0</v>
      </c>
      <c r="G479" s="78">
        <v>0</v>
      </c>
      <c r="H479" s="78">
        <v>0</v>
      </c>
      <c r="I479" s="78">
        <v>0</v>
      </c>
      <c r="J479" s="78">
        <v>0</v>
      </c>
      <c r="K479" s="78">
        <v>0</v>
      </c>
      <c r="L479" s="36" t="e">
        <f t="shared" ca="1" si="102"/>
        <v>#N/A</v>
      </c>
      <c r="M479" s="37" t="e">
        <f t="shared" ca="1" si="100"/>
        <v>#N/A</v>
      </c>
      <c r="N479" s="37" t="e">
        <f t="shared" ca="1" si="101"/>
        <v>#N/A</v>
      </c>
      <c r="P479" s="35" t="e">
        <f t="shared" ca="1" si="109"/>
        <v>#N/A</v>
      </c>
      <c r="Q479" s="59" t="e">
        <f t="shared" ca="1" si="103"/>
        <v>#N/A</v>
      </c>
      <c r="R479" s="44" t="e">
        <f t="shared" ca="1" si="104"/>
        <v>#N/A</v>
      </c>
      <c r="S479" s="37" t="e">
        <f ca="1">IF(P479="","",IF(P479="Total",SUM($S$19:S478),VLOOKUP($P479,$B$12:$L533,11,FALSE)))</f>
        <v>#N/A</v>
      </c>
      <c r="T479" s="44" t="e">
        <f ca="1">IF(payfreq="Annually",IF(P479="","",IF(P479="Total",SUM($T$19:T478),Adj_Rate*$R479)),IF(payfreq="Semiannually",IF(P479="","",IF(P479="Total",SUM($T$19:T478),Adj_Rate/2*$R479)),IF(payfreq="Quarterly",IF(P479="","",IF(P479="Total",SUM($T$19:T478),Adj_Rate/4*$R479)),IF(payfreq="Monthly",IF(P479="","",IF(P479="Total",SUM($T$19:T478),Adj_Rate/12*$R479)),""))))</f>
        <v>#N/A</v>
      </c>
      <c r="U479" s="37" t="e">
        <f t="shared" ca="1" si="105"/>
        <v>#N/A</v>
      </c>
      <c r="V479" s="44" t="e">
        <f t="shared" ca="1" si="106"/>
        <v>#N/A</v>
      </c>
    </row>
    <row r="480" spans="2:22">
      <c r="B480" s="38" t="e">
        <f t="shared" ca="1" si="107"/>
        <v>#N/A</v>
      </c>
      <c r="C480" s="77" t="e">
        <f t="shared" ca="1" si="108"/>
        <v>#N/A</v>
      </c>
      <c r="D480" s="78" t="e">
        <f ca="1">+IF(AND(B480&lt;$G$7),VLOOKUP($B$1,Inventory!$A$1:$BC$500,35,FALSE),IF(AND(B480=$G$7,pmt_timing="End"),VLOOKUP($B$1,Inventory!$A$1:$BC$500,35,FALSE),0))</f>
        <v>#N/A</v>
      </c>
      <c r="E480" s="78">
        <v>0</v>
      </c>
      <c r="F480" s="78">
        <v>0</v>
      </c>
      <c r="G480" s="78">
        <v>0</v>
      </c>
      <c r="H480" s="78">
        <v>0</v>
      </c>
      <c r="I480" s="78">
        <v>0</v>
      </c>
      <c r="J480" s="78">
        <v>0</v>
      </c>
      <c r="K480" s="78">
        <v>0</v>
      </c>
      <c r="L480" s="36" t="e">
        <f t="shared" ca="1" si="102"/>
        <v>#N/A</v>
      </c>
      <c r="M480" s="37" t="e">
        <f t="shared" ca="1" si="100"/>
        <v>#N/A</v>
      </c>
      <c r="N480" s="37" t="e">
        <f t="shared" ca="1" si="101"/>
        <v>#N/A</v>
      </c>
      <c r="P480" s="35" t="e">
        <f t="shared" ca="1" si="109"/>
        <v>#N/A</v>
      </c>
      <c r="Q480" s="59" t="e">
        <f t="shared" ca="1" si="103"/>
        <v>#N/A</v>
      </c>
      <c r="R480" s="44" t="e">
        <f t="shared" ca="1" si="104"/>
        <v>#N/A</v>
      </c>
      <c r="S480" s="37" t="e">
        <f ca="1">IF(P480="","",IF(P480="Total",SUM($S$19:S479),VLOOKUP($P480,$B$12:$L534,11,FALSE)))</f>
        <v>#N/A</v>
      </c>
      <c r="T480" s="44" t="e">
        <f ca="1">IF(payfreq="Annually",IF(P480="","",IF(P480="Total",SUM($T$19:T479),Adj_Rate*$R480)),IF(payfreq="Semiannually",IF(P480="","",IF(P480="Total",SUM($T$19:T479),Adj_Rate/2*$R480)),IF(payfreq="Quarterly",IF(P480="","",IF(P480="Total",SUM($T$19:T479),Adj_Rate/4*$R480)),IF(payfreq="Monthly",IF(P480="","",IF(P480="Total",SUM($T$19:T479),Adj_Rate/12*$R480)),""))))</f>
        <v>#N/A</v>
      </c>
      <c r="U480" s="37" t="e">
        <f t="shared" ca="1" si="105"/>
        <v>#N/A</v>
      </c>
      <c r="V480" s="44" t="e">
        <f t="shared" ca="1" si="106"/>
        <v>#N/A</v>
      </c>
    </row>
    <row r="481" spans="2:22">
      <c r="B481" s="38" t="e">
        <f t="shared" ca="1" si="107"/>
        <v>#N/A</v>
      </c>
      <c r="C481" s="77" t="e">
        <f t="shared" ca="1" si="108"/>
        <v>#N/A</v>
      </c>
      <c r="D481" s="78" t="e">
        <f ca="1">+IF(AND(B481&lt;$G$7),VLOOKUP($B$1,Inventory!$A$1:$BC$500,35,FALSE),IF(AND(B481=$G$7,pmt_timing="End"),VLOOKUP($B$1,Inventory!$A$1:$BC$500,35,FALSE),0))</f>
        <v>#N/A</v>
      </c>
      <c r="E481" s="78">
        <v>0</v>
      </c>
      <c r="F481" s="78">
        <v>0</v>
      </c>
      <c r="G481" s="78">
        <v>0</v>
      </c>
      <c r="H481" s="78">
        <v>0</v>
      </c>
      <c r="I481" s="78">
        <v>0</v>
      </c>
      <c r="J481" s="78">
        <v>0</v>
      </c>
      <c r="K481" s="78">
        <v>0</v>
      </c>
      <c r="L481" s="36" t="e">
        <f t="shared" ca="1" si="102"/>
        <v>#N/A</v>
      </c>
      <c r="M481" s="37" t="e">
        <f t="shared" ca="1" si="100"/>
        <v>#N/A</v>
      </c>
      <c r="N481" s="37" t="e">
        <f t="shared" ca="1" si="101"/>
        <v>#N/A</v>
      </c>
      <c r="P481" s="35" t="e">
        <f t="shared" ca="1" si="109"/>
        <v>#N/A</v>
      </c>
      <c r="Q481" s="59" t="e">
        <f t="shared" ca="1" si="103"/>
        <v>#N/A</v>
      </c>
      <c r="R481" s="44" t="e">
        <f t="shared" ca="1" si="104"/>
        <v>#N/A</v>
      </c>
      <c r="S481" s="37" t="e">
        <f ca="1">IF(P481="","",IF(P481="Total",SUM($S$19:S480),VLOOKUP($P481,$B$12:$L535,11,FALSE)))</f>
        <v>#N/A</v>
      </c>
      <c r="T481" s="44" t="e">
        <f ca="1">IF(payfreq="Annually",IF(P481="","",IF(P481="Total",SUM($T$19:T480),Adj_Rate*$R481)),IF(payfreq="Semiannually",IF(P481="","",IF(P481="Total",SUM($T$19:T480),Adj_Rate/2*$R481)),IF(payfreq="Quarterly",IF(P481="","",IF(P481="Total",SUM($T$19:T480),Adj_Rate/4*$R481)),IF(payfreq="Monthly",IF(P481="","",IF(P481="Total",SUM($T$19:T480),Adj_Rate/12*$R481)),""))))</f>
        <v>#N/A</v>
      </c>
      <c r="U481" s="37" t="e">
        <f t="shared" ca="1" si="105"/>
        <v>#N/A</v>
      </c>
      <c r="V481" s="44" t="e">
        <f t="shared" ca="1" si="106"/>
        <v>#N/A</v>
      </c>
    </row>
    <row r="482" spans="2:22">
      <c r="B482" s="38" t="e">
        <f t="shared" ca="1" si="107"/>
        <v>#N/A</v>
      </c>
      <c r="C482" s="77" t="e">
        <f t="shared" ca="1" si="108"/>
        <v>#N/A</v>
      </c>
      <c r="D482" s="78" t="e">
        <f ca="1">+IF(AND(B482&lt;$G$7),VLOOKUP($B$1,Inventory!$A$1:$BC$500,35,FALSE),IF(AND(B482=$G$7,pmt_timing="End"),VLOOKUP($B$1,Inventory!$A$1:$BC$500,35,FALSE),0))</f>
        <v>#N/A</v>
      </c>
      <c r="E482" s="78">
        <v>0</v>
      </c>
      <c r="F482" s="78">
        <v>0</v>
      </c>
      <c r="G482" s="78">
        <v>0</v>
      </c>
      <c r="H482" s="78">
        <v>0</v>
      </c>
      <c r="I482" s="78">
        <v>0</v>
      </c>
      <c r="J482" s="78">
        <v>0</v>
      </c>
      <c r="K482" s="78">
        <v>0</v>
      </c>
      <c r="L482" s="36" t="e">
        <f t="shared" ca="1" si="102"/>
        <v>#N/A</v>
      </c>
      <c r="M482" s="37" t="e">
        <f t="shared" ca="1" si="100"/>
        <v>#N/A</v>
      </c>
      <c r="N482" s="37" t="e">
        <f t="shared" ca="1" si="101"/>
        <v>#N/A</v>
      </c>
      <c r="P482" s="35" t="e">
        <f t="shared" ca="1" si="109"/>
        <v>#N/A</v>
      </c>
      <c r="Q482" s="59" t="e">
        <f t="shared" ca="1" si="103"/>
        <v>#N/A</v>
      </c>
      <c r="R482" s="44" t="e">
        <f t="shared" ca="1" si="104"/>
        <v>#N/A</v>
      </c>
      <c r="S482" s="37" t="e">
        <f ca="1">IF(P482="","",IF(P482="Total",SUM($S$19:S481),VLOOKUP($P482,$B$12:$L536,11,FALSE)))</f>
        <v>#N/A</v>
      </c>
      <c r="T482" s="44" t="e">
        <f ca="1">IF(payfreq="Annually",IF(P482="","",IF(P482="Total",SUM($T$19:T481),Adj_Rate*$R482)),IF(payfreq="Semiannually",IF(P482="","",IF(P482="Total",SUM($T$19:T481),Adj_Rate/2*$R482)),IF(payfreq="Quarterly",IF(P482="","",IF(P482="Total",SUM($T$19:T481),Adj_Rate/4*$R482)),IF(payfreq="Monthly",IF(P482="","",IF(P482="Total",SUM($T$19:T481),Adj_Rate/12*$R482)),""))))</f>
        <v>#N/A</v>
      </c>
      <c r="U482" s="37" t="e">
        <f t="shared" ca="1" si="105"/>
        <v>#N/A</v>
      </c>
      <c r="V482" s="44" t="e">
        <f t="shared" ca="1" si="106"/>
        <v>#N/A</v>
      </c>
    </row>
    <row r="483" spans="2:22">
      <c r="B483" s="38" t="e">
        <f t="shared" ca="1" si="107"/>
        <v>#N/A</v>
      </c>
      <c r="C483" s="77" t="e">
        <f t="shared" ca="1" si="108"/>
        <v>#N/A</v>
      </c>
      <c r="D483" s="78" t="e">
        <f ca="1">+IF(AND(B483&lt;$G$7),VLOOKUP($B$1,Inventory!$A$1:$BC$500,35,FALSE),IF(AND(B483=$G$7,pmt_timing="End"),VLOOKUP($B$1,Inventory!$A$1:$BC$500,35,FALSE),0))</f>
        <v>#N/A</v>
      </c>
      <c r="E483" s="78">
        <v>0</v>
      </c>
      <c r="F483" s="78">
        <v>0</v>
      </c>
      <c r="G483" s="78">
        <v>0</v>
      </c>
      <c r="H483" s="78">
        <v>0</v>
      </c>
      <c r="I483" s="78">
        <v>0</v>
      </c>
      <c r="J483" s="78">
        <v>0</v>
      </c>
      <c r="K483" s="78">
        <v>0</v>
      </c>
      <c r="L483" s="36" t="e">
        <f t="shared" ca="1" si="102"/>
        <v>#N/A</v>
      </c>
      <c r="M483" s="37" t="e">
        <f t="shared" ca="1" si="100"/>
        <v>#N/A</v>
      </c>
      <c r="N483" s="37" t="e">
        <f t="shared" ca="1" si="101"/>
        <v>#N/A</v>
      </c>
      <c r="P483" s="35" t="e">
        <f t="shared" ca="1" si="109"/>
        <v>#N/A</v>
      </c>
      <c r="Q483" s="59" t="e">
        <f t="shared" ca="1" si="103"/>
        <v>#N/A</v>
      </c>
      <c r="R483" s="44" t="e">
        <f t="shared" ca="1" si="104"/>
        <v>#N/A</v>
      </c>
      <c r="S483" s="37" t="e">
        <f ca="1">IF(P483="","",IF(P483="Total",SUM($S$19:S482),VLOOKUP($P483,$B$12:$L537,11,FALSE)))</f>
        <v>#N/A</v>
      </c>
      <c r="T483" s="44" t="e">
        <f ca="1">IF(payfreq="Annually",IF(P483="","",IF(P483="Total",SUM($T$19:T482),Adj_Rate*$R483)),IF(payfreq="Semiannually",IF(P483="","",IF(P483="Total",SUM($T$19:T482),Adj_Rate/2*$R483)),IF(payfreq="Quarterly",IF(P483="","",IF(P483="Total",SUM($T$19:T482),Adj_Rate/4*$R483)),IF(payfreq="Monthly",IF(P483="","",IF(P483="Total",SUM($T$19:T482),Adj_Rate/12*$R483)),""))))</f>
        <v>#N/A</v>
      </c>
      <c r="U483" s="37" t="e">
        <f t="shared" ca="1" si="105"/>
        <v>#N/A</v>
      </c>
      <c r="V483" s="44" t="e">
        <f t="shared" ca="1" si="106"/>
        <v>#N/A</v>
      </c>
    </row>
    <row r="484" spans="2:22">
      <c r="B484" s="38" t="e">
        <f t="shared" ca="1" si="107"/>
        <v>#N/A</v>
      </c>
      <c r="C484" s="77" t="e">
        <f t="shared" ca="1" si="108"/>
        <v>#N/A</v>
      </c>
      <c r="D484" s="78" t="e">
        <f ca="1">+IF(AND(B484&lt;$G$7),VLOOKUP($B$1,Inventory!$A$1:$BC$500,35,FALSE),IF(AND(B484=$G$7,pmt_timing="End"),VLOOKUP($B$1,Inventory!$A$1:$BC$500,35,FALSE),0))</f>
        <v>#N/A</v>
      </c>
      <c r="E484" s="78">
        <v>0</v>
      </c>
      <c r="F484" s="78">
        <v>0</v>
      </c>
      <c r="G484" s="78">
        <v>0</v>
      </c>
      <c r="H484" s="78">
        <v>0</v>
      </c>
      <c r="I484" s="78">
        <v>0</v>
      </c>
      <c r="J484" s="78">
        <v>0</v>
      </c>
      <c r="K484" s="78">
        <v>0</v>
      </c>
      <c r="L484" s="36" t="e">
        <f t="shared" ca="1" si="102"/>
        <v>#N/A</v>
      </c>
      <c r="M484" s="37" t="e">
        <f t="shared" ca="1" si="100"/>
        <v>#N/A</v>
      </c>
      <c r="N484" s="37" t="e">
        <f t="shared" ca="1" si="101"/>
        <v>#N/A</v>
      </c>
      <c r="P484" s="35" t="e">
        <f t="shared" ca="1" si="109"/>
        <v>#N/A</v>
      </c>
      <c r="Q484" s="59" t="e">
        <f t="shared" ca="1" si="103"/>
        <v>#N/A</v>
      </c>
      <c r="R484" s="44" t="e">
        <f t="shared" ca="1" si="104"/>
        <v>#N/A</v>
      </c>
      <c r="S484" s="37" t="e">
        <f ca="1">IF(P484="","",IF(P484="Total",SUM($S$19:S483),VLOOKUP($P484,$B$12:$L538,11,FALSE)))</f>
        <v>#N/A</v>
      </c>
      <c r="T484" s="44" t="e">
        <f ca="1">IF(payfreq="Annually",IF(P484="","",IF(P484="Total",SUM($T$19:T483),Adj_Rate*$R484)),IF(payfreq="Semiannually",IF(P484="","",IF(P484="Total",SUM($T$19:T483),Adj_Rate/2*$R484)),IF(payfreq="Quarterly",IF(P484="","",IF(P484="Total",SUM($T$19:T483),Adj_Rate/4*$R484)),IF(payfreq="Monthly",IF(P484="","",IF(P484="Total",SUM($T$19:T483),Adj_Rate/12*$R484)),""))))</f>
        <v>#N/A</v>
      </c>
      <c r="U484" s="37" t="e">
        <f t="shared" ca="1" si="105"/>
        <v>#N/A</v>
      </c>
      <c r="V484" s="44" t="e">
        <f t="shared" ca="1" si="106"/>
        <v>#N/A</v>
      </c>
    </row>
    <row r="485" spans="2:22">
      <c r="B485" s="38" t="e">
        <f t="shared" ca="1" si="107"/>
        <v>#N/A</v>
      </c>
      <c r="C485" s="77" t="e">
        <f t="shared" ca="1" si="108"/>
        <v>#N/A</v>
      </c>
      <c r="D485" s="78" t="e">
        <f ca="1">+IF(AND(B485&lt;$G$7),VLOOKUP($B$1,Inventory!$A$1:$BC$500,35,FALSE),IF(AND(B485=$G$7,pmt_timing="End"),VLOOKUP($B$1,Inventory!$A$1:$BC$500,35,FALSE),0))</f>
        <v>#N/A</v>
      </c>
      <c r="E485" s="78">
        <v>0</v>
      </c>
      <c r="F485" s="78">
        <v>0</v>
      </c>
      <c r="G485" s="78">
        <v>0</v>
      </c>
      <c r="H485" s="78">
        <v>0</v>
      </c>
      <c r="I485" s="78">
        <v>0</v>
      </c>
      <c r="J485" s="78">
        <v>0</v>
      </c>
      <c r="K485" s="78">
        <v>0</v>
      </c>
      <c r="L485" s="36" t="e">
        <f t="shared" ca="1" si="102"/>
        <v>#N/A</v>
      </c>
      <c r="M485" s="37" t="e">
        <f t="shared" ca="1" si="100"/>
        <v>#N/A</v>
      </c>
      <c r="N485" s="37" t="e">
        <f t="shared" ca="1" si="101"/>
        <v>#N/A</v>
      </c>
      <c r="P485" s="35" t="e">
        <f t="shared" ca="1" si="109"/>
        <v>#N/A</v>
      </c>
      <c r="Q485" s="59" t="e">
        <f t="shared" ca="1" si="103"/>
        <v>#N/A</v>
      </c>
      <c r="R485" s="44" t="e">
        <f t="shared" ca="1" si="104"/>
        <v>#N/A</v>
      </c>
      <c r="S485" s="37" t="e">
        <f ca="1">IF(P485="","",IF(P485="Total",SUM($S$19:S484),VLOOKUP($P485,$B$12:$L539,11,FALSE)))</f>
        <v>#N/A</v>
      </c>
      <c r="T485" s="44" t="e">
        <f ca="1">IF(payfreq="Annually",IF(P485="","",IF(P485="Total",SUM($T$19:T484),Adj_Rate*$R485)),IF(payfreq="Semiannually",IF(P485="","",IF(P485="Total",SUM($T$19:T484),Adj_Rate/2*$R485)),IF(payfreq="Quarterly",IF(P485="","",IF(P485="Total",SUM($T$19:T484),Adj_Rate/4*$R485)),IF(payfreq="Monthly",IF(P485="","",IF(P485="Total",SUM($T$19:T484),Adj_Rate/12*$R485)),""))))</f>
        <v>#N/A</v>
      </c>
      <c r="U485" s="37" t="e">
        <f t="shared" ca="1" si="105"/>
        <v>#N/A</v>
      </c>
      <c r="V485" s="44" t="e">
        <f t="shared" ca="1" si="106"/>
        <v>#N/A</v>
      </c>
    </row>
    <row r="486" spans="2:22">
      <c r="B486" s="38" t="e">
        <f t="shared" ca="1" si="107"/>
        <v>#N/A</v>
      </c>
      <c r="C486" s="77" t="e">
        <f t="shared" ca="1" si="108"/>
        <v>#N/A</v>
      </c>
      <c r="D486" s="78" t="e">
        <f ca="1">+IF(AND(B486&lt;$G$7),VLOOKUP($B$1,Inventory!$A$1:$BC$500,35,FALSE),IF(AND(B486=$G$7,pmt_timing="End"),VLOOKUP($B$1,Inventory!$A$1:$BC$500,35,FALSE),0))</f>
        <v>#N/A</v>
      </c>
      <c r="E486" s="78">
        <v>0</v>
      </c>
      <c r="F486" s="78">
        <v>0</v>
      </c>
      <c r="G486" s="78">
        <v>0</v>
      </c>
      <c r="H486" s="78">
        <v>0</v>
      </c>
      <c r="I486" s="78">
        <v>0</v>
      </c>
      <c r="J486" s="78">
        <v>0</v>
      </c>
      <c r="K486" s="78">
        <v>0</v>
      </c>
      <c r="L486" s="36" t="e">
        <f t="shared" ca="1" si="102"/>
        <v>#N/A</v>
      </c>
      <c r="M486" s="37" t="e">
        <f t="shared" ca="1" si="100"/>
        <v>#N/A</v>
      </c>
      <c r="N486" s="37" t="e">
        <f t="shared" ca="1" si="101"/>
        <v>#N/A</v>
      </c>
      <c r="P486" s="35" t="e">
        <f t="shared" ca="1" si="109"/>
        <v>#N/A</v>
      </c>
      <c r="Q486" s="59" t="e">
        <f t="shared" ca="1" si="103"/>
        <v>#N/A</v>
      </c>
      <c r="R486" s="44" t="e">
        <f t="shared" ca="1" si="104"/>
        <v>#N/A</v>
      </c>
      <c r="S486" s="37" t="e">
        <f ca="1">IF(P486="","",IF(P486="Total",SUM($S$19:S485),VLOOKUP($P486,$B$12:$L540,11,FALSE)))</f>
        <v>#N/A</v>
      </c>
      <c r="T486" s="44" t="e">
        <f ca="1">IF(payfreq="Annually",IF(P486="","",IF(P486="Total",SUM($T$19:T485),Adj_Rate*$R486)),IF(payfreq="Semiannually",IF(P486="","",IF(P486="Total",SUM($T$19:T485),Adj_Rate/2*$R486)),IF(payfreq="Quarterly",IF(P486="","",IF(P486="Total",SUM($T$19:T485),Adj_Rate/4*$R486)),IF(payfreq="Monthly",IF(P486="","",IF(P486="Total",SUM($T$19:T485),Adj_Rate/12*$R486)),""))))</f>
        <v>#N/A</v>
      </c>
      <c r="U486" s="37" t="e">
        <f t="shared" ca="1" si="105"/>
        <v>#N/A</v>
      </c>
      <c r="V486" s="44" t="e">
        <f t="shared" ca="1" si="106"/>
        <v>#N/A</v>
      </c>
    </row>
    <row r="487" spans="2:22">
      <c r="B487" s="38" t="e">
        <f t="shared" ca="1" si="107"/>
        <v>#N/A</v>
      </c>
      <c r="C487" s="77" t="e">
        <f t="shared" ca="1" si="108"/>
        <v>#N/A</v>
      </c>
      <c r="D487" s="78" t="e">
        <f ca="1">+IF(AND(B487&lt;$G$7),VLOOKUP($B$1,Inventory!$A$1:$BC$500,35,FALSE),IF(AND(B487=$G$7,pmt_timing="End"),VLOOKUP($B$1,Inventory!$A$1:$BC$500,35,FALSE),0))</f>
        <v>#N/A</v>
      </c>
      <c r="E487" s="78">
        <v>0</v>
      </c>
      <c r="F487" s="78">
        <v>0</v>
      </c>
      <c r="G487" s="78">
        <v>0</v>
      </c>
      <c r="H487" s="78">
        <v>0</v>
      </c>
      <c r="I487" s="78">
        <v>0</v>
      </c>
      <c r="J487" s="78">
        <v>0</v>
      </c>
      <c r="K487" s="78">
        <v>0</v>
      </c>
      <c r="L487" s="36" t="e">
        <f t="shared" ca="1" si="102"/>
        <v>#N/A</v>
      </c>
      <c r="M487" s="37" t="e">
        <f t="shared" ca="1" si="100"/>
        <v>#N/A</v>
      </c>
      <c r="N487" s="37" t="e">
        <f t="shared" ca="1" si="101"/>
        <v>#N/A</v>
      </c>
      <c r="P487" s="35" t="e">
        <f t="shared" ca="1" si="109"/>
        <v>#N/A</v>
      </c>
      <c r="Q487" s="59" t="e">
        <f t="shared" ca="1" si="103"/>
        <v>#N/A</v>
      </c>
      <c r="R487" s="44" t="e">
        <f t="shared" ca="1" si="104"/>
        <v>#N/A</v>
      </c>
      <c r="S487" s="37" t="e">
        <f ca="1">IF(P487="","",IF(P487="Total",SUM($S$19:S486),VLOOKUP($P487,$B$12:$L541,11,FALSE)))</f>
        <v>#N/A</v>
      </c>
      <c r="T487" s="44" t="e">
        <f ca="1">IF(payfreq="Annually",IF(P487="","",IF(P487="Total",SUM($T$19:T486),Adj_Rate*$R487)),IF(payfreq="Semiannually",IF(P487="","",IF(P487="Total",SUM($T$19:T486),Adj_Rate/2*$R487)),IF(payfreq="Quarterly",IF(P487="","",IF(P487="Total",SUM($T$19:T486),Adj_Rate/4*$R487)),IF(payfreq="Monthly",IF(P487="","",IF(P487="Total",SUM($T$19:T486),Adj_Rate/12*$R487)),""))))</f>
        <v>#N/A</v>
      </c>
      <c r="U487" s="37" t="e">
        <f t="shared" ca="1" si="105"/>
        <v>#N/A</v>
      </c>
      <c r="V487" s="44" t="e">
        <f t="shared" ca="1" si="106"/>
        <v>#N/A</v>
      </c>
    </row>
    <row r="488" spans="2:22">
      <c r="B488" s="38" t="e">
        <f t="shared" ca="1" si="107"/>
        <v>#N/A</v>
      </c>
      <c r="C488" s="77" t="e">
        <f t="shared" ca="1" si="108"/>
        <v>#N/A</v>
      </c>
      <c r="D488" s="78" t="e">
        <f ca="1">+IF(AND(B488&lt;$G$7),VLOOKUP($B$1,Inventory!$A$1:$BC$500,35,FALSE),IF(AND(B488=$G$7,pmt_timing="End"),VLOOKUP($B$1,Inventory!$A$1:$BC$500,35,FALSE),0))</f>
        <v>#N/A</v>
      </c>
      <c r="E488" s="78">
        <v>0</v>
      </c>
      <c r="F488" s="78">
        <v>0</v>
      </c>
      <c r="G488" s="78">
        <v>0</v>
      </c>
      <c r="H488" s="78">
        <v>0</v>
      </c>
      <c r="I488" s="78">
        <v>0</v>
      </c>
      <c r="J488" s="78">
        <v>0</v>
      </c>
      <c r="K488" s="78">
        <v>0</v>
      </c>
      <c r="L488" s="36" t="e">
        <f t="shared" ca="1" si="102"/>
        <v>#N/A</v>
      </c>
      <c r="M488" s="37" t="e">
        <f t="shared" ca="1" si="100"/>
        <v>#N/A</v>
      </c>
      <c r="N488" s="37" t="e">
        <f t="shared" ca="1" si="101"/>
        <v>#N/A</v>
      </c>
      <c r="P488" s="35" t="e">
        <f t="shared" ca="1" si="109"/>
        <v>#N/A</v>
      </c>
      <c r="Q488" s="59" t="e">
        <f t="shared" ca="1" si="103"/>
        <v>#N/A</v>
      </c>
      <c r="R488" s="44" t="e">
        <f t="shared" ca="1" si="104"/>
        <v>#N/A</v>
      </c>
      <c r="S488" s="37" t="e">
        <f ca="1">IF(P488="","",IF(P488="Total",SUM($S$19:S487),VLOOKUP($P488,$B$12:$L542,11,FALSE)))</f>
        <v>#N/A</v>
      </c>
      <c r="T488" s="44" t="e">
        <f ca="1">IF(payfreq="Annually",IF(P488="","",IF(P488="Total",SUM($T$19:T487),Adj_Rate*$R488)),IF(payfreq="Semiannually",IF(P488="","",IF(P488="Total",SUM($T$19:T487),Adj_Rate/2*$R488)),IF(payfreq="Quarterly",IF(P488="","",IF(P488="Total",SUM($T$19:T487),Adj_Rate/4*$R488)),IF(payfreq="Monthly",IF(P488="","",IF(P488="Total",SUM($T$19:T487),Adj_Rate/12*$R488)),""))))</f>
        <v>#N/A</v>
      </c>
      <c r="U488" s="37" t="e">
        <f t="shared" ca="1" si="105"/>
        <v>#N/A</v>
      </c>
      <c r="V488" s="44" t="e">
        <f t="shared" ca="1" si="106"/>
        <v>#N/A</v>
      </c>
    </row>
    <row r="489" spans="2:22">
      <c r="B489" s="38" t="e">
        <f t="shared" ca="1" si="107"/>
        <v>#N/A</v>
      </c>
      <c r="C489" s="77" t="e">
        <f t="shared" ca="1" si="108"/>
        <v>#N/A</v>
      </c>
      <c r="D489" s="78" t="e">
        <f ca="1">+IF(AND(B489&lt;$G$7),VLOOKUP($B$1,Inventory!$A$1:$BC$500,35,FALSE),IF(AND(B489=$G$7,pmt_timing="End"),VLOOKUP($B$1,Inventory!$A$1:$BC$500,35,FALSE),0))</f>
        <v>#N/A</v>
      </c>
      <c r="E489" s="78">
        <v>0</v>
      </c>
      <c r="F489" s="78">
        <v>0</v>
      </c>
      <c r="G489" s="78">
        <v>0</v>
      </c>
      <c r="H489" s="78">
        <v>0</v>
      </c>
      <c r="I489" s="78">
        <v>0</v>
      </c>
      <c r="J489" s="78">
        <v>0</v>
      </c>
      <c r="K489" s="78">
        <v>0</v>
      </c>
      <c r="L489" s="36" t="e">
        <f t="shared" ca="1" si="102"/>
        <v>#N/A</v>
      </c>
      <c r="M489" s="37" t="e">
        <f t="shared" ca="1" si="100"/>
        <v>#N/A</v>
      </c>
      <c r="N489" s="37" t="e">
        <f t="shared" ca="1" si="101"/>
        <v>#N/A</v>
      </c>
      <c r="P489" s="35" t="e">
        <f t="shared" ca="1" si="109"/>
        <v>#N/A</v>
      </c>
      <c r="Q489" s="59" t="e">
        <f t="shared" ca="1" si="103"/>
        <v>#N/A</v>
      </c>
      <c r="R489" s="44" t="e">
        <f t="shared" ca="1" si="104"/>
        <v>#N/A</v>
      </c>
      <c r="S489" s="37" t="e">
        <f ca="1">IF(P489="","",IF(P489="Total",SUM($S$19:S488),VLOOKUP($P489,$B$12:$L543,11,FALSE)))</f>
        <v>#N/A</v>
      </c>
      <c r="T489" s="44" t="e">
        <f ca="1">IF(payfreq="Annually",IF(P489="","",IF(P489="Total",SUM($T$19:T488),Adj_Rate*$R489)),IF(payfreq="Semiannually",IF(P489="","",IF(P489="Total",SUM($T$19:T488),Adj_Rate/2*$R489)),IF(payfreq="Quarterly",IF(P489="","",IF(P489="Total",SUM($T$19:T488),Adj_Rate/4*$R489)),IF(payfreq="Monthly",IF(P489="","",IF(P489="Total",SUM($T$19:T488),Adj_Rate/12*$R489)),""))))</f>
        <v>#N/A</v>
      </c>
      <c r="U489" s="37" t="e">
        <f t="shared" ca="1" si="105"/>
        <v>#N/A</v>
      </c>
      <c r="V489" s="44" t="e">
        <f t="shared" ca="1" si="106"/>
        <v>#N/A</v>
      </c>
    </row>
    <row r="490" spans="2:22">
      <c r="B490" s="38" t="e">
        <f t="shared" ca="1" si="107"/>
        <v>#N/A</v>
      </c>
      <c r="C490" s="77" t="e">
        <f t="shared" ca="1" si="108"/>
        <v>#N/A</v>
      </c>
      <c r="D490" s="78" t="e">
        <f ca="1">+IF(AND(B490&lt;$G$7),VLOOKUP($B$1,Inventory!$A$1:$BC$500,35,FALSE),IF(AND(B490=$G$7,pmt_timing="End"),VLOOKUP($B$1,Inventory!$A$1:$BC$500,35,FALSE),0))</f>
        <v>#N/A</v>
      </c>
      <c r="E490" s="78">
        <v>0</v>
      </c>
      <c r="F490" s="78">
        <v>0</v>
      </c>
      <c r="G490" s="78">
        <v>0</v>
      </c>
      <c r="H490" s="78">
        <v>0</v>
      </c>
      <c r="I490" s="78">
        <v>0</v>
      </c>
      <c r="J490" s="78">
        <v>0</v>
      </c>
      <c r="K490" s="78">
        <v>0</v>
      </c>
      <c r="L490" s="36" t="e">
        <f t="shared" ca="1" si="102"/>
        <v>#N/A</v>
      </c>
      <c r="M490" s="37" t="e">
        <f t="shared" ca="1" si="100"/>
        <v>#N/A</v>
      </c>
      <c r="N490" s="37" t="e">
        <f t="shared" ca="1" si="101"/>
        <v>#N/A</v>
      </c>
      <c r="P490" s="35" t="e">
        <f t="shared" ca="1" si="109"/>
        <v>#N/A</v>
      </c>
      <c r="Q490" s="59" t="e">
        <f t="shared" ca="1" si="103"/>
        <v>#N/A</v>
      </c>
      <c r="R490" s="44" t="e">
        <f t="shared" ca="1" si="104"/>
        <v>#N/A</v>
      </c>
      <c r="S490" s="37" t="e">
        <f ca="1">IF(P490="","",IF(P490="Total",SUM($S$19:S489),VLOOKUP($P490,$B$12:$L544,11,FALSE)))</f>
        <v>#N/A</v>
      </c>
      <c r="T490" s="44" t="e">
        <f ca="1">IF(payfreq="Annually",IF(P490="","",IF(P490="Total",SUM($T$19:T489),Adj_Rate*$R490)),IF(payfreq="Semiannually",IF(P490="","",IF(P490="Total",SUM($T$19:T489),Adj_Rate/2*$R490)),IF(payfreq="Quarterly",IF(P490="","",IF(P490="Total",SUM($T$19:T489),Adj_Rate/4*$R490)),IF(payfreq="Monthly",IF(P490="","",IF(P490="Total",SUM($T$19:T489),Adj_Rate/12*$R490)),""))))</f>
        <v>#N/A</v>
      </c>
      <c r="U490" s="37" t="e">
        <f t="shared" ca="1" si="105"/>
        <v>#N/A</v>
      </c>
      <c r="V490" s="44" t="e">
        <f t="shared" ca="1" si="106"/>
        <v>#N/A</v>
      </c>
    </row>
    <row r="491" spans="2:22">
      <c r="B491" s="38" t="e">
        <f t="shared" ca="1" si="107"/>
        <v>#N/A</v>
      </c>
      <c r="C491" s="77" t="e">
        <f t="shared" ca="1" si="108"/>
        <v>#N/A</v>
      </c>
      <c r="D491" s="78" t="e">
        <f ca="1">+IF(AND(B491&lt;$G$7),VLOOKUP($B$1,Inventory!$A$1:$BC$500,35,FALSE),IF(AND(B491=$G$7,pmt_timing="End"),VLOOKUP($B$1,Inventory!$A$1:$BC$500,35,FALSE),0))</f>
        <v>#N/A</v>
      </c>
      <c r="E491" s="78">
        <v>0</v>
      </c>
      <c r="F491" s="78">
        <v>0</v>
      </c>
      <c r="G491" s="78">
        <v>0</v>
      </c>
      <c r="H491" s="78">
        <v>0</v>
      </c>
      <c r="I491" s="78">
        <v>0</v>
      </c>
      <c r="J491" s="78">
        <v>0</v>
      </c>
      <c r="K491" s="78">
        <v>0</v>
      </c>
      <c r="L491" s="36" t="e">
        <f t="shared" ca="1" si="102"/>
        <v>#N/A</v>
      </c>
      <c r="M491" s="37" t="e">
        <f t="shared" ca="1" si="100"/>
        <v>#N/A</v>
      </c>
      <c r="N491" s="37" t="e">
        <f t="shared" ca="1" si="101"/>
        <v>#N/A</v>
      </c>
      <c r="P491" s="35" t="e">
        <f t="shared" ca="1" si="109"/>
        <v>#N/A</v>
      </c>
      <c r="Q491" s="59" t="e">
        <f t="shared" ca="1" si="103"/>
        <v>#N/A</v>
      </c>
      <c r="R491" s="44" t="e">
        <f t="shared" ca="1" si="104"/>
        <v>#N/A</v>
      </c>
      <c r="S491" s="37" t="e">
        <f ca="1">IF(P491="","",IF(P491="Total",SUM($S$19:S490),VLOOKUP($P491,$B$12:$L545,11,FALSE)))</f>
        <v>#N/A</v>
      </c>
      <c r="T491" s="44" t="e">
        <f ca="1">IF(payfreq="Annually",IF(P491="","",IF(P491="Total",SUM($T$19:T490),Adj_Rate*$R491)),IF(payfreq="Semiannually",IF(P491="","",IF(P491="Total",SUM($T$19:T490),Adj_Rate/2*$R491)),IF(payfreq="Quarterly",IF(P491="","",IF(P491="Total",SUM($T$19:T490),Adj_Rate/4*$R491)),IF(payfreq="Monthly",IF(P491="","",IF(P491="Total",SUM($T$19:T490),Adj_Rate/12*$R491)),""))))</f>
        <v>#N/A</v>
      </c>
      <c r="U491" s="37" t="e">
        <f t="shared" ca="1" si="105"/>
        <v>#N/A</v>
      </c>
      <c r="V491" s="44" t="e">
        <f t="shared" ca="1" si="106"/>
        <v>#N/A</v>
      </c>
    </row>
    <row r="492" spans="2:22">
      <c r="B492" s="38" t="e">
        <f t="shared" ca="1" si="107"/>
        <v>#N/A</v>
      </c>
      <c r="C492" s="77" t="e">
        <f t="shared" ca="1" si="108"/>
        <v>#N/A</v>
      </c>
      <c r="D492" s="78" t="e">
        <f ca="1">+IF(AND(B492&lt;$G$7),VLOOKUP($B$1,Inventory!$A$1:$BC$500,35,FALSE),IF(AND(B492=$G$7,pmt_timing="End"),VLOOKUP($B$1,Inventory!$A$1:$BC$500,35,FALSE),0))</f>
        <v>#N/A</v>
      </c>
      <c r="E492" s="78">
        <v>0</v>
      </c>
      <c r="F492" s="78">
        <v>0</v>
      </c>
      <c r="G492" s="78">
        <v>0</v>
      </c>
      <c r="H492" s="78">
        <v>0</v>
      </c>
      <c r="I492" s="78">
        <v>0</v>
      </c>
      <c r="J492" s="78">
        <v>0</v>
      </c>
      <c r="K492" s="78">
        <v>0</v>
      </c>
      <c r="L492" s="36" t="e">
        <f t="shared" ca="1" si="102"/>
        <v>#N/A</v>
      </c>
      <c r="M492" s="37" t="e">
        <f t="shared" ca="1" si="100"/>
        <v>#N/A</v>
      </c>
      <c r="N492" s="37" t="e">
        <f t="shared" ca="1" si="101"/>
        <v>#N/A</v>
      </c>
      <c r="P492" s="35" t="e">
        <f t="shared" ca="1" si="109"/>
        <v>#N/A</v>
      </c>
      <c r="Q492" s="59" t="e">
        <f t="shared" ca="1" si="103"/>
        <v>#N/A</v>
      </c>
      <c r="R492" s="44" t="e">
        <f t="shared" ca="1" si="104"/>
        <v>#N/A</v>
      </c>
      <c r="S492" s="37" t="e">
        <f ca="1">IF(P492="","",IF(P492="Total",SUM($S$19:S491),VLOOKUP($P492,$B$12:$L546,11,FALSE)))</f>
        <v>#N/A</v>
      </c>
      <c r="T492" s="44" t="e">
        <f ca="1">IF(payfreq="Annually",IF(P492="","",IF(P492="Total",SUM($T$19:T491),Adj_Rate*$R492)),IF(payfreq="Semiannually",IF(P492="","",IF(P492="Total",SUM($T$19:T491),Adj_Rate/2*$R492)),IF(payfreq="Quarterly",IF(P492="","",IF(P492="Total",SUM($T$19:T491),Adj_Rate/4*$R492)),IF(payfreq="Monthly",IF(P492="","",IF(P492="Total",SUM($T$19:T491),Adj_Rate/12*$R492)),""))))</f>
        <v>#N/A</v>
      </c>
      <c r="U492" s="37" t="e">
        <f t="shared" ca="1" si="105"/>
        <v>#N/A</v>
      </c>
      <c r="V492" s="44" t="e">
        <f t="shared" ca="1" si="106"/>
        <v>#N/A</v>
      </c>
    </row>
    <row r="493" spans="2:22">
      <c r="B493" s="38" t="e">
        <f t="shared" ca="1" si="107"/>
        <v>#N/A</v>
      </c>
      <c r="C493" s="77" t="e">
        <f t="shared" ca="1" si="108"/>
        <v>#N/A</v>
      </c>
      <c r="D493" s="78" t="e">
        <f ca="1">+IF(AND(B493&lt;$G$7),VLOOKUP($B$1,Inventory!$A$1:$BC$500,35,FALSE),IF(AND(B493=$G$7,pmt_timing="End"),VLOOKUP($B$1,Inventory!$A$1:$BC$500,35,FALSE),0))</f>
        <v>#N/A</v>
      </c>
      <c r="E493" s="78">
        <v>0</v>
      </c>
      <c r="F493" s="78">
        <v>0</v>
      </c>
      <c r="G493" s="78">
        <v>0</v>
      </c>
      <c r="H493" s="78">
        <v>0</v>
      </c>
      <c r="I493" s="78">
        <v>0</v>
      </c>
      <c r="J493" s="78">
        <v>0</v>
      </c>
      <c r="K493" s="78">
        <v>0</v>
      </c>
      <c r="L493" s="36" t="e">
        <f t="shared" ca="1" si="102"/>
        <v>#N/A</v>
      </c>
      <c r="M493" s="37" t="e">
        <f t="shared" ca="1" si="100"/>
        <v>#N/A</v>
      </c>
      <c r="N493" s="37" t="e">
        <f t="shared" ca="1" si="101"/>
        <v>#N/A</v>
      </c>
      <c r="P493" s="35" t="e">
        <f t="shared" ca="1" si="109"/>
        <v>#N/A</v>
      </c>
      <c r="Q493" s="59" t="e">
        <f t="shared" ca="1" si="103"/>
        <v>#N/A</v>
      </c>
      <c r="R493" s="44" t="e">
        <f t="shared" ca="1" si="104"/>
        <v>#N/A</v>
      </c>
      <c r="S493" s="37" t="e">
        <f ca="1">IF(P493="","",IF(P493="Total",SUM($S$19:S492),VLOOKUP($P493,$B$12:$L547,11,FALSE)))</f>
        <v>#N/A</v>
      </c>
      <c r="T493" s="44" t="e">
        <f ca="1">IF(payfreq="Annually",IF(P493="","",IF(P493="Total",SUM($T$19:T492),Adj_Rate*$R493)),IF(payfreq="Semiannually",IF(P493="","",IF(P493="Total",SUM($T$19:T492),Adj_Rate/2*$R493)),IF(payfreq="Quarterly",IF(P493="","",IF(P493="Total",SUM($T$19:T492),Adj_Rate/4*$R493)),IF(payfreq="Monthly",IF(P493="","",IF(P493="Total",SUM($T$19:T492),Adj_Rate/12*$R493)),""))))</f>
        <v>#N/A</v>
      </c>
      <c r="U493" s="37" t="e">
        <f t="shared" ca="1" si="105"/>
        <v>#N/A</v>
      </c>
      <c r="V493" s="44" t="e">
        <f t="shared" ca="1" si="106"/>
        <v>#N/A</v>
      </c>
    </row>
    <row r="494" spans="2:22">
      <c r="B494" s="38" t="e">
        <f t="shared" ca="1" si="107"/>
        <v>#N/A</v>
      </c>
      <c r="C494" s="77" t="e">
        <f t="shared" ca="1" si="108"/>
        <v>#N/A</v>
      </c>
      <c r="D494" s="78" t="e">
        <f ca="1">+IF(AND(B494&lt;$G$7),VLOOKUP($B$1,Inventory!$A$1:$BC$500,35,FALSE),IF(AND(B494=$G$7,pmt_timing="End"),VLOOKUP($B$1,Inventory!$A$1:$BC$500,35,FALSE),0))</f>
        <v>#N/A</v>
      </c>
      <c r="E494" s="78">
        <v>0</v>
      </c>
      <c r="F494" s="78">
        <v>0</v>
      </c>
      <c r="G494" s="78">
        <v>0</v>
      </c>
      <c r="H494" s="78">
        <v>0</v>
      </c>
      <c r="I494" s="78">
        <v>0</v>
      </c>
      <c r="J494" s="78">
        <v>0</v>
      </c>
      <c r="K494" s="78">
        <v>0</v>
      </c>
      <c r="L494" s="36" t="e">
        <f t="shared" ca="1" si="102"/>
        <v>#N/A</v>
      </c>
      <c r="M494" s="37" t="e">
        <f t="shared" ca="1" si="100"/>
        <v>#N/A</v>
      </c>
      <c r="N494" s="37" t="e">
        <f t="shared" ca="1" si="101"/>
        <v>#N/A</v>
      </c>
      <c r="P494" s="35" t="e">
        <f t="shared" ca="1" si="109"/>
        <v>#N/A</v>
      </c>
      <c r="Q494" s="59" t="e">
        <f t="shared" ca="1" si="103"/>
        <v>#N/A</v>
      </c>
      <c r="R494" s="44" t="e">
        <f t="shared" ca="1" si="104"/>
        <v>#N/A</v>
      </c>
      <c r="S494" s="37" t="e">
        <f ca="1">IF(P494="","",IF(P494="Total",SUM($S$19:S493),VLOOKUP($P494,$B$12:$L548,11,FALSE)))</f>
        <v>#N/A</v>
      </c>
      <c r="T494" s="44" t="e">
        <f ca="1">IF(payfreq="Annually",IF(P494="","",IF(P494="Total",SUM($T$19:T493),Adj_Rate*$R494)),IF(payfreq="Semiannually",IF(P494="","",IF(P494="Total",SUM($T$19:T493),Adj_Rate/2*$R494)),IF(payfreq="Quarterly",IF(P494="","",IF(P494="Total",SUM($T$19:T493),Adj_Rate/4*$R494)),IF(payfreq="Monthly",IF(P494="","",IF(P494="Total",SUM($T$19:T493),Adj_Rate/12*$R494)),""))))</f>
        <v>#N/A</v>
      </c>
      <c r="U494" s="37" t="e">
        <f t="shared" ca="1" si="105"/>
        <v>#N/A</v>
      </c>
      <c r="V494" s="44" t="e">
        <f t="shared" ca="1" si="106"/>
        <v>#N/A</v>
      </c>
    </row>
    <row r="495" spans="2:22">
      <c r="B495" s="38" t="e">
        <f t="shared" ca="1" si="107"/>
        <v>#N/A</v>
      </c>
      <c r="C495" s="77" t="e">
        <f t="shared" ca="1" si="108"/>
        <v>#N/A</v>
      </c>
      <c r="D495" s="78" t="e">
        <f ca="1">+IF(AND(B495&lt;$G$7),VLOOKUP($B$1,Inventory!$A$1:$BC$500,35,FALSE),IF(AND(B495=$G$7,pmt_timing="End"),VLOOKUP($B$1,Inventory!$A$1:$BC$500,35,FALSE),0))</f>
        <v>#N/A</v>
      </c>
      <c r="E495" s="78">
        <v>0</v>
      </c>
      <c r="F495" s="78">
        <v>0</v>
      </c>
      <c r="G495" s="78">
        <v>0</v>
      </c>
      <c r="H495" s="78">
        <v>0</v>
      </c>
      <c r="I495" s="78">
        <v>0</v>
      </c>
      <c r="J495" s="78">
        <v>0</v>
      </c>
      <c r="K495" s="78">
        <v>0</v>
      </c>
      <c r="L495" s="36" t="e">
        <f t="shared" ca="1" si="102"/>
        <v>#N/A</v>
      </c>
      <c r="M495" s="37" t="e">
        <f t="shared" ca="1" si="100"/>
        <v>#N/A</v>
      </c>
      <c r="N495" s="37" t="e">
        <f t="shared" ca="1" si="101"/>
        <v>#N/A</v>
      </c>
      <c r="P495" s="35" t="e">
        <f t="shared" ca="1" si="109"/>
        <v>#N/A</v>
      </c>
      <c r="Q495" s="59" t="e">
        <f t="shared" ca="1" si="103"/>
        <v>#N/A</v>
      </c>
      <c r="R495" s="44" t="e">
        <f t="shared" ca="1" si="104"/>
        <v>#N/A</v>
      </c>
      <c r="S495" s="37" t="e">
        <f ca="1">IF(P495="","",IF(P495="Total",SUM($S$19:S494),VLOOKUP($P495,$B$12:$L549,11,FALSE)))</f>
        <v>#N/A</v>
      </c>
      <c r="T495" s="44" t="e">
        <f ca="1">IF(payfreq="Annually",IF(P495="","",IF(P495="Total",SUM($T$19:T494),Adj_Rate*$R495)),IF(payfreq="Semiannually",IF(P495="","",IF(P495="Total",SUM($T$19:T494),Adj_Rate/2*$R495)),IF(payfreq="Quarterly",IF(P495="","",IF(P495="Total",SUM($T$19:T494),Adj_Rate/4*$R495)),IF(payfreq="Monthly",IF(P495="","",IF(P495="Total",SUM($T$19:T494),Adj_Rate/12*$R495)),""))))</f>
        <v>#N/A</v>
      </c>
      <c r="U495" s="37" t="e">
        <f t="shared" ca="1" si="105"/>
        <v>#N/A</v>
      </c>
      <c r="V495" s="44" t="e">
        <f t="shared" ca="1" si="106"/>
        <v>#N/A</v>
      </c>
    </row>
    <row r="496" spans="2:22">
      <c r="B496" s="38" t="e">
        <f t="shared" ca="1" si="107"/>
        <v>#N/A</v>
      </c>
      <c r="C496" s="77" t="e">
        <f t="shared" ca="1" si="108"/>
        <v>#N/A</v>
      </c>
      <c r="D496" s="78" t="e">
        <f ca="1">+IF(AND(B496&lt;$G$7),VLOOKUP($B$1,Inventory!$A$1:$BC$500,35,FALSE),IF(AND(B496=$G$7,pmt_timing="End"),VLOOKUP($B$1,Inventory!$A$1:$BC$500,35,FALSE),0))</f>
        <v>#N/A</v>
      </c>
      <c r="E496" s="78">
        <v>0</v>
      </c>
      <c r="F496" s="78">
        <v>0</v>
      </c>
      <c r="G496" s="78">
        <v>0</v>
      </c>
      <c r="H496" s="78">
        <v>0</v>
      </c>
      <c r="I496" s="78">
        <v>0</v>
      </c>
      <c r="J496" s="78">
        <v>0</v>
      </c>
      <c r="K496" s="78">
        <v>0</v>
      </c>
      <c r="L496" s="36" t="e">
        <f t="shared" ca="1" si="102"/>
        <v>#N/A</v>
      </c>
      <c r="M496" s="37" t="e">
        <f t="shared" ca="1" si="100"/>
        <v>#N/A</v>
      </c>
      <c r="N496" s="37" t="e">
        <f t="shared" ca="1" si="101"/>
        <v>#N/A</v>
      </c>
      <c r="P496" s="35" t="e">
        <f t="shared" ca="1" si="109"/>
        <v>#N/A</v>
      </c>
      <c r="Q496" s="59" t="e">
        <f t="shared" ca="1" si="103"/>
        <v>#N/A</v>
      </c>
      <c r="R496" s="44" t="e">
        <f t="shared" ca="1" si="104"/>
        <v>#N/A</v>
      </c>
      <c r="S496" s="37" t="e">
        <f ca="1">IF(P496="","",IF(P496="Total",SUM($S$19:S495),VLOOKUP($P496,$B$12:$L550,11,FALSE)))</f>
        <v>#N/A</v>
      </c>
      <c r="T496" s="44" t="e">
        <f ca="1">IF(payfreq="Annually",IF(P496="","",IF(P496="Total",SUM($T$19:T495),Adj_Rate*$R496)),IF(payfreq="Semiannually",IF(P496="","",IF(P496="Total",SUM($T$19:T495),Adj_Rate/2*$R496)),IF(payfreq="Quarterly",IF(P496="","",IF(P496="Total",SUM($T$19:T495),Adj_Rate/4*$R496)),IF(payfreq="Monthly",IF(P496="","",IF(P496="Total",SUM($T$19:T495),Adj_Rate/12*$R496)),""))))</f>
        <v>#N/A</v>
      </c>
      <c r="U496" s="37" t="e">
        <f t="shared" ca="1" si="105"/>
        <v>#N/A</v>
      </c>
      <c r="V496" s="44" t="e">
        <f t="shared" ca="1" si="106"/>
        <v>#N/A</v>
      </c>
    </row>
    <row r="497" spans="2:22">
      <c r="B497" s="38" t="e">
        <f t="shared" ca="1" si="107"/>
        <v>#N/A</v>
      </c>
      <c r="C497" s="77" t="e">
        <f t="shared" ca="1" si="108"/>
        <v>#N/A</v>
      </c>
      <c r="D497" s="78" t="e">
        <f ca="1">+IF(AND(B497&lt;$G$7),VLOOKUP($B$1,Inventory!$A$1:$BC$500,35,FALSE),IF(AND(B497=$G$7,pmt_timing="End"),VLOOKUP($B$1,Inventory!$A$1:$BC$500,35,FALSE),0))</f>
        <v>#N/A</v>
      </c>
      <c r="E497" s="78">
        <v>0</v>
      </c>
      <c r="F497" s="78">
        <v>0</v>
      </c>
      <c r="G497" s="78">
        <v>0</v>
      </c>
      <c r="H497" s="78">
        <v>0</v>
      </c>
      <c r="I497" s="78">
        <v>0</v>
      </c>
      <c r="J497" s="78">
        <v>0</v>
      </c>
      <c r="K497" s="78">
        <v>0</v>
      </c>
      <c r="L497" s="36" t="e">
        <f t="shared" ca="1" si="102"/>
        <v>#N/A</v>
      </c>
      <c r="M497" s="37" t="e">
        <f t="shared" ca="1" si="100"/>
        <v>#N/A</v>
      </c>
      <c r="N497" s="37" t="e">
        <f t="shared" ca="1" si="101"/>
        <v>#N/A</v>
      </c>
      <c r="P497" s="35" t="e">
        <f t="shared" ca="1" si="109"/>
        <v>#N/A</v>
      </c>
      <c r="Q497" s="59" t="e">
        <f t="shared" ca="1" si="103"/>
        <v>#N/A</v>
      </c>
      <c r="R497" s="44" t="e">
        <f t="shared" ca="1" si="104"/>
        <v>#N/A</v>
      </c>
      <c r="S497" s="37" t="e">
        <f ca="1">IF(P497="","",IF(P497="Total",SUM($S$19:S496),VLOOKUP($P497,$B$12:$L551,11,FALSE)))</f>
        <v>#N/A</v>
      </c>
      <c r="T497" s="44" t="e">
        <f ca="1">IF(payfreq="Annually",IF(P497="","",IF(P497="Total",SUM($T$19:T496),Adj_Rate*$R497)),IF(payfreq="Semiannually",IF(P497="","",IF(P497="Total",SUM($T$19:T496),Adj_Rate/2*$R497)),IF(payfreq="Quarterly",IF(P497="","",IF(P497="Total",SUM($T$19:T496),Adj_Rate/4*$R497)),IF(payfreq="Monthly",IF(P497="","",IF(P497="Total",SUM($T$19:T496),Adj_Rate/12*$R497)),""))))</f>
        <v>#N/A</v>
      </c>
      <c r="U497" s="37" t="e">
        <f t="shared" ca="1" si="105"/>
        <v>#N/A</v>
      </c>
      <c r="V497" s="44" t="e">
        <f t="shared" ca="1" si="106"/>
        <v>#N/A</v>
      </c>
    </row>
    <row r="498" spans="2:22">
      <c r="B498" s="38" t="e">
        <f t="shared" ca="1" si="107"/>
        <v>#N/A</v>
      </c>
      <c r="C498" s="77" t="e">
        <f t="shared" ca="1" si="108"/>
        <v>#N/A</v>
      </c>
      <c r="D498" s="78" t="e">
        <f ca="1">+IF(AND(B498&lt;$G$7),VLOOKUP($B$1,Inventory!$A$1:$BC$500,35,FALSE),IF(AND(B498=$G$7,pmt_timing="End"),VLOOKUP($B$1,Inventory!$A$1:$BC$500,35,FALSE),0))</f>
        <v>#N/A</v>
      </c>
      <c r="E498" s="78">
        <v>0</v>
      </c>
      <c r="F498" s="78">
        <v>0</v>
      </c>
      <c r="G498" s="78">
        <v>0</v>
      </c>
      <c r="H498" s="78">
        <v>0</v>
      </c>
      <c r="I498" s="78">
        <v>0</v>
      </c>
      <c r="J498" s="78">
        <v>0</v>
      </c>
      <c r="K498" s="78">
        <v>0</v>
      </c>
      <c r="L498" s="36" t="e">
        <f t="shared" ca="1" si="102"/>
        <v>#N/A</v>
      </c>
      <c r="M498" s="37" t="e">
        <f t="shared" ca="1" si="100"/>
        <v>#N/A</v>
      </c>
      <c r="N498" s="37" t="e">
        <f t="shared" ca="1" si="101"/>
        <v>#N/A</v>
      </c>
      <c r="P498" s="35" t="e">
        <f t="shared" ca="1" si="109"/>
        <v>#N/A</v>
      </c>
      <c r="Q498" s="59" t="e">
        <f t="shared" ca="1" si="103"/>
        <v>#N/A</v>
      </c>
      <c r="R498" s="44" t="e">
        <f t="shared" ca="1" si="104"/>
        <v>#N/A</v>
      </c>
      <c r="S498" s="37" t="e">
        <f ca="1">IF(P498="","",IF(P498="Total",SUM($S$19:S497),VLOOKUP($P498,$B$12:$L552,11,FALSE)))</f>
        <v>#N/A</v>
      </c>
      <c r="T498" s="44" t="e">
        <f ca="1">IF(payfreq="Annually",IF(P498="","",IF(P498="Total",SUM($T$19:T497),Adj_Rate*$R498)),IF(payfreq="Semiannually",IF(P498="","",IF(P498="Total",SUM($T$19:T497),Adj_Rate/2*$R498)),IF(payfreq="Quarterly",IF(P498="","",IF(P498="Total",SUM($T$19:T497),Adj_Rate/4*$R498)),IF(payfreq="Monthly",IF(P498="","",IF(P498="Total",SUM($T$19:T497),Adj_Rate/12*$R498)),""))))</f>
        <v>#N/A</v>
      </c>
      <c r="U498" s="37" t="e">
        <f t="shared" ca="1" si="105"/>
        <v>#N/A</v>
      </c>
      <c r="V498" s="44" t="e">
        <f t="shared" ca="1" si="106"/>
        <v>#N/A</v>
      </c>
    </row>
    <row r="499" spans="2:22">
      <c r="B499" s="38" t="e">
        <f t="shared" ca="1" si="107"/>
        <v>#N/A</v>
      </c>
      <c r="C499" s="77" t="e">
        <f t="shared" ca="1" si="108"/>
        <v>#N/A</v>
      </c>
      <c r="D499" s="78" t="e">
        <f ca="1">+IF(AND(B499&lt;$G$7),VLOOKUP($B$1,Inventory!$A$1:$BC$500,35,FALSE),IF(AND(B499=$G$7,pmt_timing="End"),VLOOKUP($B$1,Inventory!$A$1:$BC$500,35,FALSE),0))</f>
        <v>#N/A</v>
      </c>
      <c r="E499" s="78">
        <v>0</v>
      </c>
      <c r="F499" s="78">
        <v>0</v>
      </c>
      <c r="G499" s="78">
        <v>0</v>
      </c>
      <c r="H499" s="78">
        <v>0</v>
      </c>
      <c r="I499" s="78">
        <v>0</v>
      </c>
      <c r="J499" s="78">
        <v>0</v>
      </c>
      <c r="K499" s="78">
        <v>0</v>
      </c>
      <c r="L499" s="36" t="e">
        <f t="shared" ca="1" si="102"/>
        <v>#N/A</v>
      </c>
      <c r="M499" s="37" t="e">
        <f t="shared" ca="1" si="100"/>
        <v>#N/A</v>
      </c>
      <c r="N499" s="37" t="e">
        <f t="shared" ca="1" si="101"/>
        <v>#N/A</v>
      </c>
      <c r="P499" s="35" t="e">
        <f t="shared" ca="1" si="109"/>
        <v>#N/A</v>
      </c>
      <c r="Q499" s="59" t="e">
        <f t="shared" ca="1" si="103"/>
        <v>#N/A</v>
      </c>
      <c r="R499" s="44" t="e">
        <f t="shared" ca="1" si="104"/>
        <v>#N/A</v>
      </c>
      <c r="S499" s="37" t="e">
        <f ca="1">IF(P499="","",IF(P499="Total",SUM($S$19:S498),VLOOKUP($P499,$B$12:$L553,11,FALSE)))</f>
        <v>#N/A</v>
      </c>
      <c r="T499" s="44" t="e">
        <f ca="1">IF(payfreq="Annually",IF(P499="","",IF(P499="Total",SUM($T$19:T498),Adj_Rate*$R499)),IF(payfreq="Semiannually",IF(P499="","",IF(P499="Total",SUM($T$19:T498),Adj_Rate/2*$R499)),IF(payfreq="Quarterly",IF(P499="","",IF(P499="Total",SUM($T$19:T498),Adj_Rate/4*$R499)),IF(payfreq="Monthly",IF(P499="","",IF(P499="Total",SUM($T$19:T498),Adj_Rate/12*$R499)),""))))</f>
        <v>#N/A</v>
      </c>
      <c r="U499" s="37" t="e">
        <f t="shared" ca="1" si="105"/>
        <v>#N/A</v>
      </c>
      <c r="V499" s="44" t="e">
        <f t="shared" ca="1" si="106"/>
        <v>#N/A</v>
      </c>
    </row>
    <row r="500" spans="2:22">
      <c r="B500" s="38" t="e">
        <f t="shared" ca="1" si="107"/>
        <v>#N/A</v>
      </c>
      <c r="C500" s="77" t="e">
        <f t="shared" ca="1" si="108"/>
        <v>#N/A</v>
      </c>
      <c r="D500" s="78" t="e">
        <f ca="1">+IF(AND(B500&lt;$G$7),VLOOKUP($B$1,Inventory!$A$1:$BC$500,35,FALSE),IF(AND(B500=$G$7,pmt_timing="End"),VLOOKUP($B$1,Inventory!$A$1:$BC$500,35,FALSE),0))</f>
        <v>#N/A</v>
      </c>
      <c r="E500" s="78">
        <v>0</v>
      </c>
      <c r="F500" s="78">
        <v>0</v>
      </c>
      <c r="G500" s="78">
        <v>0</v>
      </c>
      <c r="H500" s="78">
        <v>0</v>
      </c>
      <c r="I500" s="78">
        <v>0</v>
      </c>
      <c r="J500" s="78">
        <v>0</v>
      </c>
      <c r="K500" s="78">
        <v>0</v>
      </c>
      <c r="L500" s="36" t="e">
        <f t="shared" ca="1" si="102"/>
        <v>#N/A</v>
      </c>
      <c r="M500" s="37" t="e">
        <f t="shared" ca="1" si="100"/>
        <v>#N/A</v>
      </c>
      <c r="N500" s="37" t="e">
        <f t="shared" ca="1" si="101"/>
        <v>#N/A</v>
      </c>
      <c r="P500" s="35" t="e">
        <f t="shared" ca="1" si="109"/>
        <v>#N/A</v>
      </c>
      <c r="Q500" s="59" t="e">
        <f t="shared" ca="1" si="103"/>
        <v>#N/A</v>
      </c>
      <c r="R500" s="44" t="e">
        <f t="shared" ca="1" si="104"/>
        <v>#N/A</v>
      </c>
      <c r="S500" s="37" t="e">
        <f ca="1">IF(P500="","",IF(P500="Total",SUM($S$19:S499),VLOOKUP($P500,$B$12:$L554,11,FALSE)))</f>
        <v>#N/A</v>
      </c>
      <c r="T500" s="44" t="e">
        <f ca="1">IF(payfreq="Annually",IF(P500="","",IF(P500="Total",SUM($T$19:T499),Adj_Rate*$R500)),IF(payfreq="Semiannually",IF(P500="","",IF(P500="Total",SUM($T$19:T499),Adj_Rate/2*$R500)),IF(payfreq="Quarterly",IF(P500="","",IF(P500="Total",SUM($T$19:T499),Adj_Rate/4*$R500)),IF(payfreq="Monthly",IF(P500="","",IF(P500="Total",SUM($T$19:T499),Adj_Rate/12*$R500)),""))))</f>
        <v>#N/A</v>
      </c>
      <c r="U500" s="37" t="e">
        <f t="shared" ca="1" si="105"/>
        <v>#N/A</v>
      </c>
      <c r="V500" s="44" t="e">
        <f t="shared" ca="1" si="106"/>
        <v>#N/A</v>
      </c>
    </row>
    <row r="501" spans="2:22">
      <c r="B501" s="38" t="e">
        <f t="shared" ca="1" si="107"/>
        <v>#N/A</v>
      </c>
      <c r="C501" s="77" t="e">
        <f t="shared" ca="1" si="108"/>
        <v>#N/A</v>
      </c>
      <c r="D501" s="78" t="e">
        <f ca="1">+IF(AND(B501&lt;$G$7),VLOOKUP($B$1,Inventory!$A$1:$BC$500,35,FALSE),IF(AND(B501=$G$7,pmt_timing="End"),VLOOKUP($B$1,Inventory!$A$1:$BC$500,35,FALSE),0))</f>
        <v>#N/A</v>
      </c>
      <c r="E501" s="78">
        <v>0</v>
      </c>
      <c r="F501" s="78">
        <v>0</v>
      </c>
      <c r="G501" s="78">
        <v>0</v>
      </c>
      <c r="H501" s="78">
        <v>0</v>
      </c>
      <c r="I501" s="78">
        <v>0</v>
      </c>
      <c r="J501" s="78">
        <v>0</v>
      </c>
      <c r="K501" s="78">
        <v>0</v>
      </c>
      <c r="L501" s="36" t="e">
        <f t="shared" ca="1" si="102"/>
        <v>#N/A</v>
      </c>
      <c r="M501" s="37" t="e">
        <f t="shared" ca="1" si="100"/>
        <v>#N/A</v>
      </c>
      <c r="N501" s="37" t="e">
        <f t="shared" ca="1" si="101"/>
        <v>#N/A</v>
      </c>
      <c r="P501" s="35" t="e">
        <f t="shared" ca="1" si="109"/>
        <v>#N/A</v>
      </c>
      <c r="Q501" s="59" t="e">
        <f t="shared" ca="1" si="103"/>
        <v>#N/A</v>
      </c>
      <c r="R501" s="44" t="e">
        <f t="shared" ca="1" si="104"/>
        <v>#N/A</v>
      </c>
      <c r="S501" s="37" t="e">
        <f ca="1">IF(P501="","",IF(P501="Total",SUM($S$19:S500),VLOOKUP($P501,$B$12:$L555,11,FALSE)))</f>
        <v>#N/A</v>
      </c>
      <c r="T501" s="44" t="e">
        <f ca="1">IF(payfreq="Annually",IF(P501="","",IF(P501="Total",SUM($T$19:T500),Adj_Rate*$R501)),IF(payfreq="Semiannually",IF(P501="","",IF(P501="Total",SUM($T$19:T500),Adj_Rate/2*$R501)),IF(payfreq="Quarterly",IF(P501="","",IF(P501="Total",SUM($T$19:T500),Adj_Rate/4*$R501)),IF(payfreq="Monthly",IF(P501="","",IF(P501="Total",SUM($T$19:T500),Adj_Rate/12*$R501)),""))))</f>
        <v>#N/A</v>
      </c>
      <c r="U501" s="37" t="e">
        <f t="shared" ca="1" si="105"/>
        <v>#N/A</v>
      </c>
      <c r="V501" s="44" t="e">
        <f t="shared" ca="1" si="106"/>
        <v>#N/A</v>
      </c>
    </row>
    <row r="502" spans="2:22">
      <c r="B502" s="38" t="e">
        <f t="shared" ca="1" si="107"/>
        <v>#N/A</v>
      </c>
      <c r="C502" s="77" t="e">
        <f t="shared" ca="1" si="108"/>
        <v>#N/A</v>
      </c>
      <c r="D502" s="78" t="e">
        <f ca="1">+IF(AND(B502&lt;$G$7),VLOOKUP($B$1,Inventory!$A$1:$BC$500,35,FALSE),IF(AND(B502=$G$7,pmt_timing="End"),VLOOKUP($B$1,Inventory!$A$1:$BC$500,35,FALSE),0))</f>
        <v>#N/A</v>
      </c>
      <c r="E502" s="78">
        <v>0</v>
      </c>
      <c r="F502" s="78">
        <v>0</v>
      </c>
      <c r="G502" s="78">
        <v>0</v>
      </c>
      <c r="H502" s="78">
        <v>0</v>
      </c>
      <c r="I502" s="78">
        <v>0</v>
      </c>
      <c r="J502" s="78">
        <v>0</v>
      </c>
      <c r="K502" s="78">
        <v>0</v>
      </c>
      <c r="L502" s="36" t="e">
        <f t="shared" ca="1" si="102"/>
        <v>#N/A</v>
      </c>
      <c r="M502" s="37" t="e">
        <f t="shared" ca="1" si="100"/>
        <v>#N/A</v>
      </c>
      <c r="N502" s="37" t="e">
        <f t="shared" ca="1" si="101"/>
        <v>#N/A</v>
      </c>
      <c r="P502" s="35" t="e">
        <f t="shared" ca="1" si="109"/>
        <v>#N/A</v>
      </c>
      <c r="Q502" s="59" t="e">
        <f t="shared" ca="1" si="103"/>
        <v>#N/A</v>
      </c>
      <c r="R502" s="44" t="e">
        <f t="shared" ca="1" si="104"/>
        <v>#N/A</v>
      </c>
      <c r="S502" s="37" t="e">
        <f ca="1">IF(P502="","",IF(P502="Total",SUM($S$19:S501),VLOOKUP($P502,$B$12:$L556,11,FALSE)))</f>
        <v>#N/A</v>
      </c>
      <c r="T502" s="44" t="e">
        <f ca="1">IF(payfreq="Annually",IF(P502="","",IF(P502="Total",SUM($T$19:T501),Adj_Rate*$R502)),IF(payfreq="Semiannually",IF(P502="","",IF(P502="Total",SUM($T$19:T501),Adj_Rate/2*$R502)),IF(payfreq="Quarterly",IF(P502="","",IF(P502="Total",SUM($T$19:T501),Adj_Rate/4*$R502)),IF(payfreq="Monthly",IF(P502="","",IF(P502="Total",SUM($T$19:T501),Adj_Rate/12*$R502)),""))))</f>
        <v>#N/A</v>
      </c>
      <c r="U502" s="37" t="e">
        <f t="shared" ca="1" si="105"/>
        <v>#N/A</v>
      </c>
      <c r="V502" s="44" t="e">
        <f t="shared" ca="1" si="106"/>
        <v>#N/A</v>
      </c>
    </row>
    <row r="503" spans="2:22">
      <c r="B503" s="38" t="e">
        <f t="shared" ca="1" si="107"/>
        <v>#N/A</v>
      </c>
      <c r="C503" s="77" t="e">
        <f t="shared" ca="1" si="108"/>
        <v>#N/A</v>
      </c>
      <c r="D503" s="78" t="e">
        <f ca="1">+IF(AND(B503&lt;$G$7),VLOOKUP($B$1,Inventory!$A$1:$BC$500,35,FALSE),IF(AND(B503=$G$7,pmt_timing="End"),VLOOKUP($B$1,Inventory!$A$1:$BC$500,35,FALSE),0))</f>
        <v>#N/A</v>
      </c>
      <c r="E503" s="78">
        <v>0</v>
      </c>
      <c r="F503" s="78">
        <v>0</v>
      </c>
      <c r="G503" s="78">
        <v>0</v>
      </c>
      <c r="H503" s="78">
        <v>0</v>
      </c>
      <c r="I503" s="78">
        <v>0</v>
      </c>
      <c r="J503" s="78">
        <v>0</v>
      </c>
      <c r="K503" s="78">
        <v>0</v>
      </c>
      <c r="L503" s="36" t="e">
        <f t="shared" ca="1" si="102"/>
        <v>#N/A</v>
      </c>
      <c r="M503" s="37" t="e">
        <f t="shared" ca="1" si="100"/>
        <v>#N/A</v>
      </c>
      <c r="N503" s="37" t="e">
        <f t="shared" ca="1" si="101"/>
        <v>#N/A</v>
      </c>
      <c r="P503" s="35" t="e">
        <f t="shared" ca="1" si="109"/>
        <v>#N/A</v>
      </c>
      <c r="Q503" s="59" t="e">
        <f t="shared" ca="1" si="103"/>
        <v>#N/A</v>
      </c>
      <c r="R503" s="44" t="e">
        <f t="shared" ca="1" si="104"/>
        <v>#N/A</v>
      </c>
      <c r="S503" s="37" t="e">
        <f ca="1">IF(P503="","",IF(P503="Total",SUM($S$19:S502),VLOOKUP($P503,$B$12:$L557,11,FALSE)))</f>
        <v>#N/A</v>
      </c>
      <c r="T503" s="44" t="e">
        <f ca="1">IF(payfreq="Annually",IF(P503="","",IF(P503="Total",SUM($T$19:T502),Adj_Rate*$R503)),IF(payfreq="Semiannually",IF(P503="","",IF(P503="Total",SUM($T$19:T502),Adj_Rate/2*$R503)),IF(payfreq="Quarterly",IF(P503="","",IF(P503="Total",SUM($T$19:T502),Adj_Rate/4*$R503)),IF(payfreq="Monthly",IF(P503="","",IF(P503="Total",SUM($T$19:T502),Adj_Rate/12*$R503)),""))))</f>
        <v>#N/A</v>
      </c>
      <c r="U503" s="37" t="e">
        <f t="shared" ca="1" si="105"/>
        <v>#N/A</v>
      </c>
      <c r="V503" s="44" t="e">
        <f t="shared" ca="1" si="106"/>
        <v>#N/A</v>
      </c>
    </row>
    <row r="504" spans="2:22">
      <c r="B504" s="38" t="e">
        <f t="shared" ca="1" si="107"/>
        <v>#N/A</v>
      </c>
      <c r="C504" s="77" t="e">
        <f t="shared" ca="1" si="108"/>
        <v>#N/A</v>
      </c>
      <c r="D504" s="78" t="e">
        <f ca="1">+IF(AND(B504&lt;$G$7),VLOOKUP($B$1,Inventory!$A$1:$BC$500,35,FALSE),IF(AND(B504=$G$7,pmt_timing="End"),VLOOKUP($B$1,Inventory!$A$1:$BC$500,35,FALSE),0))</f>
        <v>#N/A</v>
      </c>
      <c r="E504" s="78">
        <v>0</v>
      </c>
      <c r="F504" s="78">
        <v>0</v>
      </c>
      <c r="G504" s="78">
        <v>0</v>
      </c>
      <c r="H504" s="78">
        <v>0</v>
      </c>
      <c r="I504" s="78">
        <v>0</v>
      </c>
      <c r="J504" s="78">
        <v>0</v>
      </c>
      <c r="K504" s="78">
        <v>0</v>
      </c>
      <c r="L504" s="36" t="e">
        <f t="shared" ca="1" si="102"/>
        <v>#N/A</v>
      </c>
      <c r="M504" s="37" t="e">
        <f t="shared" ca="1" si="100"/>
        <v>#N/A</v>
      </c>
      <c r="N504" s="37" t="e">
        <f t="shared" ca="1" si="101"/>
        <v>#N/A</v>
      </c>
      <c r="P504" s="35" t="e">
        <f t="shared" ca="1" si="109"/>
        <v>#N/A</v>
      </c>
      <c r="Q504" s="59" t="e">
        <f t="shared" ca="1" si="103"/>
        <v>#N/A</v>
      </c>
      <c r="R504" s="44" t="e">
        <f t="shared" ca="1" si="104"/>
        <v>#N/A</v>
      </c>
      <c r="S504" s="37" t="e">
        <f ca="1">IF(P504="","",IF(P504="Total",SUM($S$19:S503),VLOOKUP($P504,$B$12:$L558,11,FALSE)))</f>
        <v>#N/A</v>
      </c>
      <c r="T504" s="44" t="e">
        <f ca="1">IF(payfreq="Annually",IF(P504="","",IF(P504="Total",SUM($T$19:T503),Adj_Rate*$R504)),IF(payfreq="Semiannually",IF(P504="","",IF(P504="Total",SUM($T$19:T503),Adj_Rate/2*$R504)),IF(payfreq="Quarterly",IF(P504="","",IF(P504="Total",SUM($T$19:T503),Adj_Rate/4*$R504)),IF(payfreq="Monthly",IF(P504="","",IF(P504="Total",SUM($T$19:T503),Adj_Rate/12*$R504)),""))))</f>
        <v>#N/A</v>
      </c>
      <c r="U504" s="37" t="e">
        <f t="shared" ca="1" si="105"/>
        <v>#N/A</v>
      </c>
      <c r="V504" s="44" t="e">
        <f t="shared" ca="1" si="106"/>
        <v>#N/A</v>
      </c>
    </row>
    <row r="505" spans="2:22">
      <c r="B505" s="38" t="e">
        <f t="shared" ca="1" si="107"/>
        <v>#N/A</v>
      </c>
      <c r="C505" s="77" t="e">
        <f t="shared" ca="1" si="108"/>
        <v>#N/A</v>
      </c>
      <c r="D505" s="78" t="e">
        <f ca="1">+IF(AND(B505&lt;$G$7),VLOOKUP($B$1,Inventory!$A$1:$BC$500,35,FALSE),IF(AND(B505=$G$7,pmt_timing="End"),VLOOKUP($B$1,Inventory!$A$1:$BC$500,35,FALSE),0))</f>
        <v>#N/A</v>
      </c>
      <c r="E505" s="78">
        <v>0</v>
      </c>
      <c r="F505" s="78">
        <v>0</v>
      </c>
      <c r="G505" s="78">
        <v>0</v>
      </c>
      <c r="H505" s="78">
        <v>0</v>
      </c>
      <c r="I505" s="78">
        <v>0</v>
      </c>
      <c r="J505" s="78">
        <v>0</v>
      </c>
      <c r="K505" s="78">
        <v>0</v>
      </c>
      <c r="L505" s="36" t="e">
        <f t="shared" ca="1" si="102"/>
        <v>#N/A</v>
      </c>
      <c r="M505" s="37" t="e">
        <f t="shared" ca="1" si="100"/>
        <v>#N/A</v>
      </c>
      <c r="N505" s="37" t="e">
        <f t="shared" ca="1" si="101"/>
        <v>#N/A</v>
      </c>
      <c r="P505" s="35" t="e">
        <f t="shared" ca="1" si="109"/>
        <v>#N/A</v>
      </c>
      <c r="Q505" s="59" t="e">
        <f t="shared" ca="1" si="103"/>
        <v>#N/A</v>
      </c>
      <c r="R505" s="44" t="e">
        <f t="shared" ca="1" si="104"/>
        <v>#N/A</v>
      </c>
      <c r="S505" s="37" t="e">
        <f ca="1">IF(P505="","",IF(P505="Total",SUM($S$19:S504),VLOOKUP($P505,$B$12:$L559,11,FALSE)))</f>
        <v>#N/A</v>
      </c>
      <c r="T505" s="44" t="e">
        <f ca="1">IF(payfreq="Annually",IF(P505="","",IF(P505="Total",SUM($T$19:T504),Adj_Rate*$R505)),IF(payfreq="Semiannually",IF(P505="","",IF(P505="Total",SUM($T$19:T504),Adj_Rate/2*$R505)),IF(payfreq="Quarterly",IF(P505="","",IF(P505="Total",SUM($T$19:T504),Adj_Rate/4*$R505)),IF(payfreq="Monthly",IF(P505="","",IF(P505="Total",SUM($T$19:T504),Adj_Rate/12*$R505)),""))))</f>
        <v>#N/A</v>
      </c>
      <c r="U505" s="37" t="e">
        <f t="shared" ca="1" si="105"/>
        <v>#N/A</v>
      </c>
      <c r="V505" s="44" t="e">
        <f t="shared" ca="1" si="106"/>
        <v>#N/A</v>
      </c>
    </row>
    <row r="506" spans="2:22">
      <c r="B506" s="38" t="e">
        <f t="shared" ca="1" si="107"/>
        <v>#N/A</v>
      </c>
      <c r="C506" s="77" t="e">
        <f t="shared" ca="1" si="108"/>
        <v>#N/A</v>
      </c>
      <c r="D506" s="78" t="e">
        <f ca="1">+IF(AND(B506&lt;$G$7),VLOOKUP($B$1,Inventory!$A$1:$BC$500,35,FALSE),IF(AND(B506=$G$7,pmt_timing="End"),VLOOKUP($B$1,Inventory!$A$1:$BC$500,35,FALSE),0))</f>
        <v>#N/A</v>
      </c>
      <c r="E506" s="78">
        <v>0</v>
      </c>
      <c r="F506" s="78">
        <v>0</v>
      </c>
      <c r="G506" s="78">
        <v>0</v>
      </c>
      <c r="H506" s="78">
        <v>0</v>
      </c>
      <c r="I506" s="78">
        <v>0</v>
      </c>
      <c r="J506" s="78">
        <v>0</v>
      </c>
      <c r="K506" s="78">
        <v>0</v>
      </c>
      <c r="L506" s="36" t="e">
        <f t="shared" ca="1" si="102"/>
        <v>#N/A</v>
      </c>
      <c r="M506" s="37" t="e">
        <f t="shared" ca="1" si="100"/>
        <v>#N/A</v>
      </c>
      <c r="N506" s="37" t="e">
        <f t="shared" ca="1" si="101"/>
        <v>#N/A</v>
      </c>
      <c r="P506" s="35" t="e">
        <f t="shared" ca="1" si="109"/>
        <v>#N/A</v>
      </c>
      <c r="Q506" s="59" t="e">
        <f t="shared" ca="1" si="103"/>
        <v>#N/A</v>
      </c>
      <c r="R506" s="44" t="e">
        <f t="shared" ca="1" si="104"/>
        <v>#N/A</v>
      </c>
      <c r="S506" s="37" t="e">
        <f ca="1">IF(P506="","",IF(P506="Total",SUM($S$19:S505),VLOOKUP($P506,$B$12:$L560,11,FALSE)))</f>
        <v>#N/A</v>
      </c>
      <c r="T506" s="44" t="e">
        <f ca="1">IF(payfreq="Annually",IF(P506="","",IF(P506="Total",SUM($T$19:T505),Adj_Rate*$R506)),IF(payfreq="Semiannually",IF(P506="","",IF(P506="Total",SUM($T$19:T505),Adj_Rate/2*$R506)),IF(payfreq="Quarterly",IF(P506="","",IF(P506="Total",SUM($T$19:T505),Adj_Rate/4*$R506)),IF(payfreq="Monthly",IF(P506="","",IF(P506="Total",SUM($T$19:T505),Adj_Rate/12*$R506)),""))))</f>
        <v>#N/A</v>
      </c>
      <c r="U506" s="37" t="e">
        <f t="shared" ca="1" si="105"/>
        <v>#N/A</v>
      </c>
      <c r="V506" s="44" t="e">
        <f t="shared" ca="1" si="106"/>
        <v>#N/A</v>
      </c>
    </row>
    <row r="507" spans="2:22">
      <c r="B507" s="38" t="e">
        <f t="shared" ca="1" si="107"/>
        <v>#N/A</v>
      </c>
      <c r="C507" s="77" t="e">
        <f t="shared" ca="1" si="108"/>
        <v>#N/A</v>
      </c>
      <c r="D507" s="78" t="e">
        <f ca="1">+IF(AND(B507&lt;$G$7),VLOOKUP($B$1,Inventory!$A$1:$BC$500,35,FALSE),IF(AND(B507=$G$7,pmt_timing="End"),VLOOKUP($B$1,Inventory!$A$1:$BC$500,35,FALSE),0))</f>
        <v>#N/A</v>
      </c>
      <c r="E507" s="78">
        <v>0</v>
      </c>
      <c r="F507" s="78">
        <v>0</v>
      </c>
      <c r="G507" s="78">
        <v>0</v>
      </c>
      <c r="H507" s="78">
        <v>0</v>
      </c>
      <c r="I507" s="78">
        <v>0</v>
      </c>
      <c r="J507" s="78">
        <v>0</v>
      </c>
      <c r="K507" s="78">
        <v>0</v>
      </c>
      <c r="L507" s="36" t="e">
        <f t="shared" ca="1" si="102"/>
        <v>#N/A</v>
      </c>
      <c r="M507" s="37" t="e">
        <f t="shared" ca="1" si="100"/>
        <v>#N/A</v>
      </c>
      <c r="N507" s="37" t="e">
        <f t="shared" ca="1" si="101"/>
        <v>#N/A</v>
      </c>
      <c r="P507" s="35" t="e">
        <f t="shared" ca="1" si="109"/>
        <v>#N/A</v>
      </c>
      <c r="Q507" s="59" t="e">
        <f t="shared" ca="1" si="103"/>
        <v>#N/A</v>
      </c>
      <c r="R507" s="44" t="e">
        <f t="shared" ca="1" si="104"/>
        <v>#N/A</v>
      </c>
      <c r="S507" s="37" t="e">
        <f ca="1">IF(P507="","",IF(P507="Total",SUM($S$19:S506),VLOOKUP($P507,$B$12:$L561,11,FALSE)))</f>
        <v>#N/A</v>
      </c>
      <c r="T507" s="44" t="e">
        <f ca="1">IF(payfreq="Annually",IF(P507="","",IF(P507="Total",SUM($T$19:T506),Adj_Rate*$R507)),IF(payfreq="Semiannually",IF(P507="","",IF(P507="Total",SUM($T$19:T506),Adj_Rate/2*$R507)),IF(payfreq="Quarterly",IF(P507="","",IF(P507="Total",SUM($T$19:T506),Adj_Rate/4*$R507)),IF(payfreq="Monthly",IF(P507="","",IF(P507="Total",SUM($T$19:T506),Adj_Rate/12*$R507)),""))))</f>
        <v>#N/A</v>
      </c>
      <c r="U507" s="37" t="e">
        <f t="shared" ca="1" si="105"/>
        <v>#N/A</v>
      </c>
      <c r="V507" s="44" t="e">
        <f t="shared" ca="1" si="106"/>
        <v>#N/A</v>
      </c>
    </row>
    <row r="508" spans="2:22">
      <c r="B508" s="38" t="e">
        <f t="shared" ca="1" si="107"/>
        <v>#N/A</v>
      </c>
      <c r="C508" s="77" t="e">
        <f t="shared" ca="1" si="108"/>
        <v>#N/A</v>
      </c>
      <c r="D508" s="78" t="e">
        <f ca="1">+IF(AND(B508&lt;$G$7),VLOOKUP($B$1,Inventory!$A$1:$BC$500,35,FALSE),IF(AND(B508=$G$7,pmt_timing="End"),VLOOKUP($B$1,Inventory!$A$1:$BC$500,35,FALSE),0))</f>
        <v>#N/A</v>
      </c>
      <c r="E508" s="78">
        <v>0</v>
      </c>
      <c r="F508" s="78">
        <v>0</v>
      </c>
      <c r="G508" s="78">
        <v>0</v>
      </c>
      <c r="H508" s="78">
        <v>0</v>
      </c>
      <c r="I508" s="78">
        <v>0</v>
      </c>
      <c r="J508" s="78">
        <v>0</v>
      </c>
      <c r="K508" s="78">
        <v>0</v>
      </c>
      <c r="L508" s="36" t="e">
        <f t="shared" ca="1" si="102"/>
        <v>#N/A</v>
      </c>
      <c r="M508" s="37" t="e">
        <f t="shared" ca="1" si="100"/>
        <v>#N/A</v>
      </c>
      <c r="N508" s="37" t="e">
        <f t="shared" ca="1" si="101"/>
        <v>#N/A</v>
      </c>
      <c r="P508" s="35" t="e">
        <f t="shared" ca="1" si="109"/>
        <v>#N/A</v>
      </c>
      <c r="Q508" s="59" t="e">
        <f t="shared" ca="1" si="103"/>
        <v>#N/A</v>
      </c>
      <c r="R508" s="44" t="e">
        <f t="shared" ca="1" si="104"/>
        <v>#N/A</v>
      </c>
      <c r="S508" s="37" t="e">
        <f ca="1">IF(P508="","",IF(P508="Total",SUM($S$19:S507),VLOOKUP($P508,$B$12:$L562,11,FALSE)))</f>
        <v>#N/A</v>
      </c>
      <c r="T508" s="44" t="e">
        <f ca="1">IF(payfreq="Annually",IF(P508="","",IF(P508="Total",SUM($T$19:T507),Adj_Rate*$R508)),IF(payfreq="Semiannually",IF(P508="","",IF(P508="Total",SUM($T$19:T507),Adj_Rate/2*$R508)),IF(payfreq="Quarterly",IF(P508="","",IF(P508="Total",SUM($T$19:T507),Adj_Rate/4*$R508)),IF(payfreq="Monthly",IF(P508="","",IF(P508="Total",SUM($T$19:T507),Adj_Rate/12*$R508)),""))))</f>
        <v>#N/A</v>
      </c>
      <c r="U508" s="37" t="e">
        <f t="shared" ca="1" si="105"/>
        <v>#N/A</v>
      </c>
      <c r="V508" s="44" t="e">
        <f t="shared" ca="1" si="106"/>
        <v>#N/A</v>
      </c>
    </row>
    <row r="509" spans="2:22">
      <c r="B509" s="38" t="e">
        <f t="shared" ca="1" si="107"/>
        <v>#N/A</v>
      </c>
      <c r="C509" s="77" t="e">
        <f t="shared" ca="1" si="108"/>
        <v>#N/A</v>
      </c>
      <c r="D509" s="78" t="e">
        <f ca="1">+IF(AND(B509&lt;$G$7),VLOOKUP($B$1,Inventory!$A$1:$BC$500,35,FALSE),IF(AND(B509=$G$7,pmt_timing="End"),VLOOKUP($B$1,Inventory!$A$1:$BC$500,35,FALSE),0))</f>
        <v>#N/A</v>
      </c>
      <c r="E509" s="78">
        <v>0</v>
      </c>
      <c r="F509" s="78">
        <v>0</v>
      </c>
      <c r="G509" s="78">
        <v>0</v>
      </c>
      <c r="H509" s="78">
        <v>0</v>
      </c>
      <c r="I509" s="78">
        <v>0</v>
      </c>
      <c r="J509" s="78">
        <v>0</v>
      </c>
      <c r="K509" s="78">
        <v>0</v>
      </c>
      <c r="L509" s="36" t="e">
        <f t="shared" ca="1" si="102"/>
        <v>#N/A</v>
      </c>
      <c r="M509" s="37" t="e">
        <f t="shared" ca="1" si="100"/>
        <v>#N/A</v>
      </c>
      <c r="N509" s="37" t="e">
        <f t="shared" ca="1" si="101"/>
        <v>#N/A</v>
      </c>
      <c r="P509" s="35" t="e">
        <f t="shared" ca="1" si="109"/>
        <v>#N/A</v>
      </c>
      <c r="Q509" s="59" t="e">
        <f t="shared" ca="1" si="103"/>
        <v>#N/A</v>
      </c>
      <c r="R509" s="44" t="e">
        <f t="shared" ca="1" si="104"/>
        <v>#N/A</v>
      </c>
      <c r="S509" s="37" t="e">
        <f ca="1">IF(P509="","",IF(P509="Total",SUM($S$19:S508),VLOOKUP($P509,$B$12:$L563,11,FALSE)))</f>
        <v>#N/A</v>
      </c>
      <c r="T509" s="44" t="e">
        <f ca="1">IF(payfreq="Annually",IF(P509="","",IF(P509="Total",SUM($T$19:T508),Adj_Rate*$R509)),IF(payfreq="Semiannually",IF(P509="","",IF(P509="Total",SUM($T$19:T508),Adj_Rate/2*$R509)),IF(payfreq="Quarterly",IF(P509="","",IF(P509="Total",SUM($T$19:T508),Adj_Rate/4*$R509)),IF(payfreq="Monthly",IF(P509="","",IF(P509="Total",SUM($T$19:T508),Adj_Rate/12*$R509)),""))))</f>
        <v>#N/A</v>
      </c>
      <c r="U509" s="37" t="e">
        <f t="shared" ca="1" si="105"/>
        <v>#N/A</v>
      </c>
      <c r="V509" s="44" t="e">
        <f t="shared" ca="1" si="106"/>
        <v>#N/A</v>
      </c>
    </row>
    <row r="510" spans="2:22">
      <c r="B510" s="38" t="e">
        <f t="shared" ca="1" si="107"/>
        <v>#N/A</v>
      </c>
      <c r="C510" s="77" t="e">
        <f t="shared" ca="1" si="108"/>
        <v>#N/A</v>
      </c>
      <c r="D510" s="78" t="e">
        <f ca="1">+IF(AND(B510&lt;$G$7),VLOOKUP($B$1,Inventory!$A$1:$BC$500,35,FALSE),IF(AND(B510=$G$7,pmt_timing="End"),VLOOKUP($B$1,Inventory!$A$1:$BC$500,35,FALSE),0))</f>
        <v>#N/A</v>
      </c>
      <c r="E510" s="78">
        <v>0</v>
      </c>
      <c r="F510" s="78">
        <v>0</v>
      </c>
      <c r="G510" s="78">
        <v>0</v>
      </c>
      <c r="H510" s="78">
        <v>0</v>
      </c>
      <c r="I510" s="78">
        <v>0</v>
      </c>
      <c r="J510" s="78">
        <v>0</v>
      </c>
      <c r="K510" s="78">
        <v>0</v>
      </c>
      <c r="L510" s="36" t="e">
        <f t="shared" ca="1" si="102"/>
        <v>#N/A</v>
      </c>
      <c r="M510" s="37" t="e">
        <f t="shared" ca="1" si="100"/>
        <v>#N/A</v>
      </c>
      <c r="N510" s="37" t="e">
        <f t="shared" ca="1" si="101"/>
        <v>#N/A</v>
      </c>
      <c r="P510" s="35" t="e">
        <f t="shared" ca="1" si="109"/>
        <v>#N/A</v>
      </c>
      <c r="Q510" s="59" t="e">
        <f t="shared" ca="1" si="103"/>
        <v>#N/A</v>
      </c>
      <c r="R510" s="44" t="e">
        <f t="shared" ca="1" si="104"/>
        <v>#N/A</v>
      </c>
      <c r="S510" s="37" t="e">
        <f ca="1">IF(P510="","",IF(P510="Total",SUM($S$19:S509),VLOOKUP($P510,$B$12:$L564,11,FALSE)))</f>
        <v>#N/A</v>
      </c>
      <c r="T510" s="44" t="e">
        <f ca="1">IF(payfreq="Annually",IF(P510="","",IF(P510="Total",SUM($T$19:T509),Adj_Rate*$R510)),IF(payfreq="Semiannually",IF(P510="","",IF(P510="Total",SUM($T$19:T509),Adj_Rate/2*$R510)),IF(payfreq="Quarterly",IF(P510="","",IF(P510="Total",SUM($T$19:T509),Adj_Rate/4*$R510)),IF(payfreq="Monthly",IF(P510="","",IF(P510="Total",SUM($T$19:T509),Adj_Rate/12*$R510)),""))))</f>
        <v>#N/A</v>
      </c>
      <c r="U510" s="37" t="e">
        <f t="shared" ca="1" si="105"/>
        <v>#N/A</v>
      </c>
      <c r="V510" s="44" t="e">
        <f t="shared" ca="1" si="106"/>
        <v>#N/A</v>
      </c>
    </row>
    <row r="511" spans="2:22">
      <c r="B511" s="38" t="e">
        <f t="shared" ca="1" si="107"/>
        <v>#N/A</v>
      </c>
      <c r="C511" s="77" t="e">
        <f t="shared" ca="1" si="108"/>
        <v>#N/A</v>
      </c>
      <c r="D511" s="78" t="e">
        <f ca="1">+IF(AND(B511&lt;$G$7),VLOOKUP($B$1,Inventory!$A$1:$BC$500,35,FALSE),IF(AND(B511=$G$7,pmt_timing="End"),VLOOKUP($B$1,Inventory!$A$1:$BC$500,35,FALSE),0))</f>
        <v>#N/A</v>
      </c>
      <c r="E511" s="78">
        <v>0</v>
      </c>
      <c r="F511" s="78">
        <v>0</v>
      </c>
      <c r="G511" s="78">
        <v>0</v>
      </c>
      <c r="H511" s="78">
        <v>0</v>
      </c>
      <c r="I511" s="78">
        <v>0</v>
      </c>
      <c r="J511" s="78">
        <v>0</v>
      </c>
      <c r="K511" s="78">
        <v>0</v>
      </c>
      <c r="L511" s="36" t="e">
        <f t="shared" ca="1" si="102"/>
        <v>#N/A</v>
      </c>
      <c r="M511" s="37" t="e">
        <f t="shared" ca="1" si="100"/>
        <v>#N/A</v>
      </c>
      <c r="N511" s="37" t="e">
        <f t="shared" ca="1" si="101"/>
        <v>#N/A</v>
      </c>
      <c r="P511" s="35" t="e">
        <f t="shared" ca="1" si="109"/>
        <v>#N/A</v>
      </c>
      <c r="Q511" s="59" t="e">
        <f t="shared" ca="1" si="103"/>
        <v>#N/A</v>
      </c>
      <c r="R511" s="44" t="e">
        <f t="shared" ca="1" si="104"/>
        <v>#N/A</v>
      </c>
      <c r="S511" s="37" t="e">
        <f ca="1">IF(P511="","",IF(P511="Total",SUM($S$19:S510),VLOOKUP($P511,$B$12:$L565,11,FALSE)))</f>
        <v>#N/A</v>
      </c>
      <c r="T511" s="44" t="e">
        <f ca="1">IF(payfreq="Annually",IF(P511="","",IF(P511="Total",SUM($T$19:T510),Adj_Rate*$R511)),IF(payfreq="Semiannually",IF(P511="","",IF(P511="Total",SUM($T$19:T510),Adj_Rate/2*$R511)),IF(payfreq="Quarterly",IF(P511="","",IF(P511="Total",SUM($T$19:T510),Adj_Rate/4*$R511)),IF(payfreq="Monthly",IF(P511="","",IF(P511="Total",SUM($T$19:T510),Adj_Rate/12*$R511)),""))))</f>
        <v>#N/A</v>
      </c>
      <c r="U511" s="37" t="e">
        <f t="shared" ca="1" si="105"/>
        <v>#N/A</v>
      </c>
      <c r="V511" s="44" t="e">
        <f t="shared" ca="1" si="106"/>
        <v>#N/A</v>
      </c>
    </row>
    <row r="512" spans="2:22">
      <c r="B512" s="38" t="e">
        <f t="shared" ca="1" si="107"/>
        <v>#N/A</v>
      </c>
      <c r="C512" s="77" t="e">
        <f t="shared" ca="1" si="108"/>
        <v>#N/A</v>
      </c>
      <c r="D512" s="78" t="e">
        <f ca="1">+IF(AND(B512&lt;$G$7),VLOOKUP($B$1,Inventory!$A$1:$BC$500,35,FALSE),IF(AND(B512=$G$7,pmt_timing="End"),VLOOKUP($B$1,Inventory!$A$1:$BC$500,35,FALSE),0))</f>
        <v>#N/A</v>
      </c>
      <c r="E512" s="78">
        <v>0</v>
      </c>
      <c r="F512" s="78">
        <v>0</v>
      </c>
      <c r="G512" s="78">
        <v>0</v>
      </c>
      <c r="H512" s="78">
        <v>0</v>
      </c>
      <c r="I512" s="78">
        <v>0</v>
      </c>
      <c r="J512" s="78">
        <v>0</v>
      </c>
      <c r="K512" s="78">
        <v>0</v>
      </c>
      <c r="L512" s="36" t="e">
        <f t="shared" ca="1" si="102"/>
        <v>#N/A</v>
      </c>
      <c r="M512" s="37" t="e">
        <f t="shared" ca="1" si="100"/>
        <v>#N/A</v>
      </c>
      <c r="N512" s="37" t="e">
        <f t="shared" ca="1" si="101"/>
        <v>#N/A</v>
      </c>
      <c r="P512" s="35" t="e">
        <f t="shared" ca="1" si="109"/>
        <v>#N/A</v>
      </c>
      <c r="Q512" s="59" t="e">
        <f t="shared" ca="1" si="103"/>
        <v>#N/A</v>
      </c>
      <c r="R512" s="44" t="e">
        <f t="shared" ca="1" si="104"/>
        <v>#N/A</v>
      </c>
      <c r="S512" s="37" t="e">
        <f ca="1">IF(P512="","",IF(P512="Total",SUM($S$19:S511),VLOOKUP($P512,$B$12:$L566,11,FALSE)))</f>
        <v>#N/A</v>
      </c>
      <c r="T512" s="44" t="e">
        <f ca="1">IF(payfreq="Annually",IF(P512="","",IF(P512="Total",SUM($T$19:T511),Adj_Rate*$R512)),IF(payfreq="Semiannually",IF(P512="","",IF(P512="Total",SUM($T$19:T511),Adj_Rate/2*$R512)),IF(payfreq="Quarterly",IF(P512="","",IF(P512="Total",SUM($T$19:T511),Adj_Rate/4*$R512)),IF(payfreq="Monthly",IF(P512="","",IF(P512="Total",SUM($T$19:T511),Adj_Rate/12*$R512)),""))))</f>
        <v>#N/A</v>
      </c>
      <c r="U512" s="37" t="e">
        <f t="shared" ca="1" si="105"/>
        <v>#N/A</v>
      </c>
      <c r="V512" s="44" t="e">
        <f t="shared" ca="1" si="106"/>
        <v>#N/A</v>
      </c>
    </row>
    <row r="513" spans="2:22">
      <c r="B513" s="38" t="e">
        <f t="shared" ca="1" si="107"/>
        <v>#N/A</v>
      </c>
      <c r="C513" s="77" t="e">
        <f t="shared" ca="1" si="108"/>
        <v>#N/A</v>
      </c>
      <c r="D513" s="78" t="e">
        <f ca="1">+IF(AND(B513&lt;$G$7),VLOOKUP($B$1,Inventory!$A$1:$BC$500,35,FALSE),IF(AND(B513=$G$7,pmt_timing="End"),VLOOKUP($B$1,Inventory!$A$1:$BC$500,35,FALSE),0))</f>
        <v>#N/A</v>
      </c>
      <c r="E513" s="78">
        <v>0</v>
      </c>
      <c r="F513" s="78">
        <v>0</v>
      </c>
      <c r="G513" s="78">
        <v>0</v>
      </c>
      <c r="H513" s="78">
        <v>0</v>
      </c>
      <c r="I513" s="78">
        <v>0</v>
      </c>
      <c r="J513" s="78">
        <v>0</v>
      </c>
      <c r="K513" s="78">
        <v>0</v>
      </c>
      <c r="L513" s="36" t="e">
        <f t="shared" ca="1" si="102"/>
        <v>#N/A</v>
      </c>
      <c r="M513" s="37" t="e">
        <f t="shared" ca="1" si="100"/>
        <v>#N/A</v>
      </c>
      <c r="N513" s="37" t="e">
        <f t="shared" ca="1" si="101"/>
        <v>#N/A</v>
      </c>
      <c r="P513" s="35" t="e">
        <f t="shared" ca="1" si="109"/>
        <v>#N/A</v>
      </c>
      <c r="Q513" s="59" t="e">
        <f t="shared" ca="1" si="103"/>
        <v>#N/A</v>
      </c>
      <c r="R513" s="44" t="e">
        <f t="shared" ca="1" si="104"/>
        <v>#N/A</v>
      </c>
      <c r="S513" s="37" t="e">
        <f ca="1">IF(P513="","",IF(P513="Total",SUM($S$19:S512),VLOOKUP($P513,$B$12:$L567,11,FALSE)))</f>
        <v>#N/A</v>
      </c>
      <c r="T513" s="44" t="e">
        <f ca="1">IF(payfreq="Annually",IF(P513="","",IF(P513="Total",SUM($T$19:T512),Adj_Rate*$R513)),IF(payfreq="Semiannually",IF(P513="","",IF(P513="Total",SUM($T$19:T512),Adj_Rate/2*$R513)),IF(payfreq="Quarterly",IF(P513="","",IF(P513="Total",SUM($T$19:T512),Adj_Rate/4*$R513)),IF(payfreq="Monthly",IF(P513="","",IF(P513="Total",SUM($T$19:T512),Adj_Rate/12*$R513)),""))))</f>
        <v>#N/A</v>
      </c>
      <c r="U513" s="37" t="e">
        <f t="shared" ca="1" si="105"/>
        <v>#N/A</v>
      </c>
      <c r="V513" s="44" t="e">
        <f t="shared" ca="1" si="106"/>
        <v>#N/A</v>
      </c>
    </row>
    <row r="514" spans="2:22">
      <c r="B514" s="38" t="e">
        <f t="shared" ca="1" si="107"/>
        <v>#N/A</v>
      </c>
      <c r="C514" s="77" t="e">
        <f t="shared" ca="1" si="108"/>
        <v>#N/A</v>
      </c>
      <c r="D514" s="78" t="e">
        <f ca="1">+IF(AND(B514&lt;$G$7),VLOOKUP($B$1,Inventory!$A$1:$BC$500,35,FALSE),IF(AND(B514=$G$7,pmt_timing="End"),VLOOKUP($B$1,Inventory!$A$1:$BC$500,35,FALSE),0))</f>
        <v>#N/A</v>
      </c>
      <c r="E514" s="78">
        <v>0</v>
      </c>
      <c r="F514" s="78">
        <v>0</v>
      </c>
      <c r="G514" s="78">
        <v>0</v>
      </c>
      <c r="H514" s="78">
        <v>0</v>
      </c>
      <c r="I514" s="78">
        <v>0</v>
      </c>
      <c r="J514" s="78">
        <v>0</v>
      </c>
      <c r="K514" s="78">
        <v>0</v>
      </c>
      <c r="L514" s="36" t="e">
        <f t="shared" ca="1" si="102"/>
        <v>#N/A</v>
      </c>
      <c r="M514" s="37" t="e">
        <f t="shared" ca="1" si="100"/>
        <v>#N/A</v>
      </c>
      <c r="N514" s="37" t="e">
        <f t="shared" ca="1" si="101"/>
        <v>#N/A</v>
      </c>
      <c r="P514" s="35" t="e">
        <f t="shared" ca="1" si="109"/>
        <v>#N/A</v>
      </c>
      <c r="Q514" s="59" t="e">
        <f t="shared" ca="1" si="103"/>
        <v>#N/A</v>
      </c>
      <c r="R514" s="44" t="e">
        <f t="shared" ca="1" si="104"/>
        <v>#N/A</v>
      </c>
      <c r="S514" s="37" t="e">
        <f ca="1">IF(P514="","",IF(P514="Total",SUM($S$19:S513),VLOOKUP($P514,$B$12:$L568,11,FALSE)))</f>
        <v>#N/A</v>
      </c>
      <c r="T514" s="44" t="e">
        <f ca="1">IF(payfreq="Annually",IF(P514="","",IF(P514="Total",SUM($T$19:T513),Adj_Rate*$R514)),IF(payfreq="Semiannually",IF(P514="","",IF(P514="Total",SUM($T$19:T513),Adj_Rate/2*$R514)),IF(payfreq="Quarterly",IF(P514="","",IF(P514="Total",SUM($T$19:T513),Adj_Rate/4*$R514)),IF(payfreq="Monthly",IF(P514="","",IF(P514="Total",SUM($T$19:T513),Adj_Rate/12*$R514)),""))))</f>
        <v>#N/A</v>
      </c>
      <c r="U514" s="37" t="e">
        <f t="shared" ca="1" si="105"/>
        <v>#N/A</v>
      </c>
      <c r="V514" s="44" t="e">
        <f t="shared" ca="1" si="106"/>
        <v>#N/A</v>
      </c>
    </row>
    <row r="515" spans="2:22">
      <c r="B515" s="38" t="e">
        <f t="shared" ca="1" si="107"/>
        <v>#N/A</v>
      </c>
      <c r="C515" s="77" t="e">
        <f t="shared" ca="1" si="108"/>
        <v>#N/A</v>
      </c>
      <c r="D515" s="78" t="e">
        <f ca="1">+IF(AND(B515&lt;$G$7),VLOOKUP($B$1,Inventory!$A$1:$BC$500,35,FALSE),IF(AND(B515=$G$7,pmt_timing="End"),VLOOKUP($B$1,Inventory!$A$1:$BC$500,35,FALSE),0))</f>
        <v>#N/A</v>
      </c>
      <c r="E515" s="78">
        <v>0</v>
      </c>
      <c r="F515" s="78">
        <v>0</v>
      </c>
      <c r="G515" s="78">
        <v>0</v>
      </c>
      <c r="H515" s="78">
        <v>0</v>
      </c>
      <c r="I515" s="78">
        <v>0</v>
      </c>
      <c r="J515" s="78">
        <v>0</v>
      </c>
      <c r="K515" s="78">
        <v>0</v>
      </c>
      <c r="L515" s="36" t="e">
        <f t="shared" ca="1" si="102"/>
        <v>#N/A</v>
      </c>
      <c r="M515" s="37" t="e">
        <f t="shared" ca="1" si="100"/>
        <v>#N/A</v>
      </c>
      <c r="N515" s="37" t="e">
        <f t="shared" ca="1" si="101"/>
        <v>#N/A</v>
      </c>
      <c r="P515" s="35" t="e">
        <f t="shared" ca="1" si="109"/>
        <v>#N/A</v>
      </c>
      <c r="Q515" s="59" t="e">
        <f t="shared" ca="1" si="103"/>
        <v>#N/A</v>
      </c>
      <c r="R515" s="44" t="e">
        <f t="shared" ca="1" si="104"/>
        <v>#N/A</v>
      </c>
      <c r="S515" s="37" t="e">
        <f ca="1">IF(P515="","",IF(P515="Total",SUM($S$19:S514),VLOOKUP($P515,$B$12:$L569,11,FALSE)))</f>
        <v>#N/A</v>
      </c>
      <c r="T515" s="44" t="e">
        <f ca="1">IF(payfreq="Annually",IF(P515="","",IF(P515="Total",SUM($T$19:T514),Adj_Rate*$R515)),IF(payfreq="Semiannually",IF(P515="","",IF(P515="Total",SUM($T$19:T514),Adj_Rate/2*$R515)),IF(payfreq="Quarterly",IF(P515="","",IF(P515="Total",SUM($T$19:T514),Adj_Rate/4*$R515)),IF(payfreq="Monthly",IF(P515="","",IF(P515="Total",SUM($T$19:T514),Adj_Rate/12*$R515)),""))))</f>
        <v>#N/A</v>
      </c>
      <c r="U515" s="37" t="e">
        <f t="shared" ca="1" si="105"/>
        <v>#N/A</v>
      </c>
      <c r="V515" s="44" t="e">
        <f t="shared" ca="1" si="106"/>
        <v>#N/A</v>
      </c>
    </row>
    <row r="516" spans="2:22">
      <c r="B516" s="38" t="e">
        <f t="shared" ca="1" si="107"/>
        <v>#N/A</v>
      </c>
      <c r="C516" s="77" t="e">
        <f t="shared" ca="1" si="108"/>
        <v>#N/A</v>
      </c>
      <c r="D516" s="78" t="e">
        <f ca="1">+IF(AND(B516&lt;$G$7),VLOOKUP($B$1,Inventory!$A$1:$BC$500,35,FALSE),IF(AND(B516=$G$7,pmt_timing="End"),VLOOKUP($B$1,Inventory!$A$1:$BC$500,35,FALSE),0))</f>
        <v>#N/A</v>
      </c>
      <c r="E516" s="78">
        <v>0</v>
      </c>
      <c r="F516" s="78">
        <v>0</v>
      </c>
      <c r="G516" s="78">
        <v>0</v>
      </c>
      <c r="H516" s="78">
        <v>0</v>
      </c>
      <c r="I516" s="78">
        <v>0</v>
      </c>
      <c r="J516" s="78">
        <v>0</v>
      </c>
      <c r="K516" s="78">
        <v>0</v>
      </c>
      <c r="L516" s="36" t="e">
        <f t="shared" ca="1" si="102"/>
        <v>#N/A</v>
      </c>
      <c r="M516" s="37" t="e">
        <f t="shared" ca="1" si="100"/>
        <v>#N/A</v>
      </c>
      <c r="N516" s="37" t="e">
        <f t="shared" ca="1" si="101"/>
        <v>#N/A</v>
      </c>
      <c r="P516" s="35" t="e">
        <f t="shared" ca="1" si="109"/>
        <v>#N/A</v>
      </c>
      <c r="Q516" s="59" t="e">
        <f t="shared" ca="1" si="103"/>
        <v>#N/A</v>
      </c>
      <c r="R516" s="44" t="e">
        <f t="shared" ca="1" si="104"/>
        <v>#N/A</v>
      </c>
      <c r="S516" s="37" t="e">
        <f ca="1">IF(P516="","",IF(P516="Total",SUM($S$19:S515),VLOOKUP($P516,$B$12:$L570,11,FALSE)))</f>
        <v>#N/A</v>
      </c>
      <c r="T516" s="44" t="e">
        <f ca="1">IF(payfreq="Annually",IF(P516="","",IF(P516="Total",SUM($T$19:T515),Adj_Rate*$R516)),IF(payfreq="Semiannually",IF(P516="","",IF(P516="Total",SUM($T$19:T515),Adj_Rate/2*$R516)),IF(payfreq="Quarterly",IF(P516="","",IF(P516="Total",SUM($T$19:T515),Adj_Rate/4*$R516)),IF(payfreq="Monthly",IF(P516="","",IF(P516="Total",SUM($T$19:T515),Adj_Rate/12*$R516)),""))))</f>
        <v>#N/A</v>
      </c>
      <c r="U516" s="37" t="e">
        <f t="shared" ca="1" si="105"/>
        <v>#N/A</v>
      </c>
      <c r="V516" s="44" t="e">
        <f t="shared" ca="1" si="106"/>
        <v>#N/A</v>
      </c>
    </row>
    <row r="517" spans="2:22">
      <c r="B517" s="38" t="e">
        <f t="shared" ca="1" si="107"/>
        <v>#N/A</v>
      </c>
      <c r="C517" s="77" t="e">
        <f t="shared" ca="1" si="108"/>
        <v>#N/A</v>
      </c>
      <c r="D517" s="78" t="e">
        <f ca="1">+IF(AND(B517&lt;$G$7),VLOOKUP($B$1,Inventory!$A$1:$BC$500,35,FALSE),IF(AND(B517=$G$7,pmt_timing="End"),VLOOKUP($B$1,Inventory!$A$1:$BC$500,35,FALSE),0))</f>
        <v>#N/A</v>
      </c>
      <c r="E517" s="78">
        <v>0</v>
      </c>
      <c r="F517" s="78">
        <v>0</v>
      </c>
      <c r="G517" s="78">
        <v>0</v>
      </c>
      <c r="H517" s="78">
        <v>0</v>
      </c>
      <c r="I517" s="78">
        <v>0</v>
      </c>
      <c r="J517" s="78">
        <v>0</v>
      </c>
      <c r="K517" s="78">
        <v>0</v>
      </c>
      <c r="L517" s="36" t="e">
        <f t="shared" ca="1" si="102"/>
        <v>#N/A</v>
      </c>
      <c r="M517" s="37" t="e">
        <f t="shared" ca="1" si="100"/>
        <v>#N/A</v>
      </c>
      <c r="N517" s="37" t="e">
        <f t="shared" ca="1" si="101"/>
        <v>#N/A</v>
      </c>
      <c r="P517" s="35" t="e">
        <f t="shared" ca="1" si="109"/>
        <v>#N/A</v>
      </c>
      <c r="Q517" s="59" t="e">
        <f t="shared" ca="1" si="103"/>
        <v>#N/A</v>
      </c>
      <c r="R517" s="44" t="e">
        <f t="shared" ca="1" si="104"/>
        <v>#N/A</v>
      </c>
      <c r="S517" s="37" t="e">
        <f ca="1">IF(P517="","",IF(P517="Total",SUM($S$19:S516),VLOOKUP($P517,$B$12:$L571,11,FALSE)))</f>
        <v>#N/A</v>
      </c>
      <c r="T517" s="44" t="e">
        <f ca="1">IF(payfreq="Annually",IF(P517="","",IF(P517="Total",SUM($T$19:T516),Adj_Rate*$R517)),IF(payfreq="Semiannually",IF(P517="","",IF(P517="Total",SUM($T$19:T516),Adj_Rate/2*$R517)),IF(payfreq="Quarterly",IF(P517="","",IF(P517="Total",SUM($T$19:T516),Adj_Rate/4*$R517)),IF(payfreq="Monthly",IF(P517="","",IF(P517="Total",SUM($T$19:T516),Adj_Rate/12*$R517)),""))))</f>
        <v>#N/A</v>
      </c>
      <c r="U517" s="37" t="e">
        <f t="shared" ca="1" si="105"/>
        <v>#N/A</v>
      </c>
      <c r="V517" s="44" t="e">
        <f t="shared" ca="1" si="106"/>
        <v>#N/A</v>
      </c>
    </row>
    <row r="518" spans="2:22">
      <c r="B518" s="38" t="e">
        <f t="shared" ca="1" si="107"/>
        <v>#N/A</v>
      </c>
      <c r="C518" s="77" t="e">
        <f t="shared" ca="1" si="108"/>
        <v>#N/A</v>
      </c>
      <c r="D518" s="78" t="e">
        <f ca="1">+IF(AND(B518&lt;$G$7),VLOOKUP($B$1,Inventory!$A$1:$BC$500,35,FALSE),IF(AND(B518=$G$7,pmt_timing="End"),VLOOKUP($B$1,Inventory!$A$1:$BC$500,35,FALSE),0))</f>
        <v>#N/A</v>
      </c>
      <c r="E518" s="78">
        <v>0</v>
      </c>
      <c r="F518" s="78">
        <v>0</v>
      </c>
      <c r="G518" s="78">
        <v>0</v>
      </c>
      <c r="H518" s="78">
        <v>0</v>
      </c>
      <c r="I518" s="78">
        <v>0</v>
      </c>
      <c r="J518" s="78">
        <v>0</v>
      </c>
      <c r="K518" s="78">
        <v>0</v>
      </c>
      <c r="L518" s="36" t="e">
        <f t="shared" ca="1" si="102"/>
        <v>#N/A</v>
      </c>
      <c r="M518" s="37" t="e">
        <f t="shared" ca="1" si="100"/>
        <v>#N/A</v>
      </c>
      <c r="N518" s="37" t="e">
        <f t="shared" ca="1" si="101"/>
        <v>#N/A</v>
      </c>
      <c r="P518" s="35" t="e">
        <f t="shared" ca="1" si="109"/>
        <v>#N/A</v>
      </c>
      <c r="Q518" s="59" t="e">
        <f t="shared" ca="1" si="103"/>
        <v>#N/A</v>
      </c>
      <c r="R518" s="44" t="e">
        <f t="shared" ca="1" si="104"/>
        <v>#N/A</v>
      </c>
      <c r="S518" s="37" t="e">
        <f ca="1">IF(P518="","",IF(P518="Total",SUM($S$19:S517),VLOOKUP($P518,$B$12:$L572,11,FALSE)))</f>
        <v>#N/A</v>
      </c>
      <c r="T518" s="44" t="e">
        <f ca="1">IF(payfreq="Annually",IF(P518="","",IF(P518="Total",SUM($T$19:T517),Adj_Rate*$R518)),IF(payfreq="Semiannually",IF(P518="","",IF(P518="Total",SUM($T$19:T517),Adj_Rate/2*$R518)),IF(payfreq="Quarterly",IF(P518="","",IF(P518="Total",SUM($T$19:T517),Adj_Rate/4*$R518)),IF(payfreq="Monthly",IF(P518="","",IF(P518="Total",SUM($T$19:T517),Adj_Rate/12*$R518)),""))))</f>
        <v>#N/A</v>
      </c>
      <c r="U518" s="37" t="e">
        <f t="shared" ca="1" si="105"/>
        <v>#N/A</v>
      </c>
      <c r="V518" s="44" t="e">
        <f t="shared" ca="1" si="106"/>
        <v>#N/A</v>
      </c>
    </row>
    <row r="519" spans="2:22">
      <c r="B519" s="38" t="e">
        <f t="shared" ca="1" si="107"/>
        <v>#N/A</v>
      </c>
      <c r="C519" s="77" t="e">
        <f t="shared" ca="1" si="108"/>
        <v>#N/A</v>
      </c>
      <c r="D519" s="78" t="e">
        <f ca="1">+IF(AND(B519&lt;$G$7),VLOOKUP($B$1,Inventory!$A$1:$BC$500,35,FALSE),IF(AND(B519=$G$7,pmt_timing="End"),VLOOKUP($B$1,Inventory!$A$1:$BC$500,35,FALSE),0))</f>
        <v>#N/A</v>
      </c>
      <c r="E519" s="78">
        <v>0</v>
      </c>
      <c r="F519" s="78">
        <v>0</v>
      </c>
      <c r="G519" s="78">
        <v>0</v>
      </c>
      <c r="H519" s="78">
        <v>0</v>
      </c>
      <c r="I519" s="78">
        <v>0</v>
      </c>
      <c r="J519" s="78">
        <v>0</v>
      </c>
      <c r="K519" s="78">
        <v>0</v>
      </c>
      <c r="L519" s="36" t="e">
        <f t="shared" ca="1" si="102"/>
        <v>#N/A</v>
      </c>
      <c r="M519" s="37" t="e">
        <f t="shared" ca="1" si="100"/>
        <v>#N/A</v>
      </c>
      <c r="N519" s="37" t="e">
        <f t="shared" ca="1" si="101"/>
        <v>#N/A</v>
      </c>
      <c r="P519" s="35" t="e">
        <f t="shared" ca="1" si="109"/>
        <v>#N/A</v>
      </c>
      <c r="Q519" s="59" t="e">
        <f t="shared" ca="1" si="103"/>
        <v>#N/A</v>
      </c>
      <c r="R519" s="44" t="e">
        <f t="shared" ca="1" si="104"/>
        <v>#N/A</v>
      </c>
      <c r="S519" s="37" t="e">
        <f ca="1">IF(P519="","",IF(P519="Total",SUM($S$19:S518),VLOOKUP($P519,$B$12:$L573,11,FALSE)))</f>
        <v>#N/A</v>
      </c>
      <c r="T519" s="44" t="e">
        <f ca="1">IF(payfreq="Annually",IF(P519="","",IF(P519="Total",SUM($T$19:T518),Adj_Rate*$R519)),IF(payfreq="Semiannually",IF(P519="","",IF(P519="Total",SUM($T$19:T518),Adj_Rate/2*$R519)),IF(payfreq="Quarterly",IF(P519="","",IF(P519="Total",SUM($T$19:T518),Adj_Rate/4*$R519)),IF(payfreq="Monthly",IF(P519="","",IF(P519="Total",SUM($T$19:T518),Adj_Rate/12*$R519)),""))))</f>
        <v>#N/A</v>
      </c>
      <c r="U519" s="37" t="e">
        <f t="shared" ca="1" si="105"/>
        <v>#N/A</v>
      </c>
      <c r="V519" s="44" t="e">
        <f t="shared" ca="1" si="106"/>
        <v>#N/A</v>
      </c>
    </row>
    <row r="520" spans="2:22">
      <c r="B520" s="38" t="e">
        <f t="shared" ca="1" si="107"/>
        <v>#N/A</v>
      </c>
      <c r="C520" s="77" t="e">
        <f t="shared" ca="1" si="108"/>
        <v>#N/A</v>
      </c>
      <c r="D520" s="78" t="e">
        <f ca="1">+IF(AND(B520&lt;$G$7),VLOOKUP($B$1,Inventory!$A$1:$BC$500,35,FALSE),IF(AND(B520=$G$7,pmt_timing="End"),VLOOKUP($B$1,Inventory!$A$1:$BC$500,35,FALSE),0))</f>
        <v>#N/A</v>
      </c>
      <c r="E520" s="78">
        <v>0</v>
      </c>
      <c r="F520" s="78">
        <v>0</v>
      </c>
      <c r="G520" s="78">
        <v>0</v>
      </c>
      <c r="H520" s="78">
        <v>0</v>
      </c>
      <c r="I520" s="78">
        <v>0</v>
      </c>
      <c r="J520" s="78">
        <v>0</v>
      </c>
      <c r="K520" s="78">
        <v>0</v>
      </c>
      <c r="L520" s="36" t="e">
        <f t="shared" ca="1" si="102"/>
        <v>#N/A</v>
      </c>
      <c r="M520" s="37" t="e">
        <f t="shared" ca="1" si="100"/>
        <v>#N/A</v>
      </c>
      <c r="N520" s="37" t="e">
        <f t="shared" ca="1" si="101"/>
        <v>#N/A</v>
      </c>
      <c r="P520" s="35" t="e">
        <f t="shared" ca="1" si="109"/>
        <v>#N/A</v>
      </c>
      <c r="Q520" s="59" t="e">
        <f t="shared" ca="1" si="103"/>
        <v>#N/A</v>
      </c>
      <c r="R520" s="44" t="e">
        <f t="shared" ca="1" si="104"/>
        <v>#N/A</v>
      </c>
      <c r="S520" s="37" t="e">
        <f ca="1">IF(P520="","",IF(P520="Total",SUM($S$19:S519),VLOOKUP($P520,$B$12:$L574,11,FALSE)))</f>
        <v>#N/A</v>
      </c>
      <c r="T520" s="44" t="e">
        <f ca="1">IF(payfreq="Annually",IF(P520="","",IF(P520="Total",SUM($T$19:T519),Adj_Rate*$R520)),IF(payfreq="Semiannually",IF(P520="","",IF(P520="Total",SUM($T$19:T519),Adj_Rate/2*$R520)),IF(payfreq="Quarterly",IF(P520="","",IF(P520="Total",SUM($T$19:T519),Adj_Rate/4*$R520)),IF(payfreq="Monthly",IF(P520="","",IF(P520="Total",SUM($T$19:T519),Adj_Rate/12*$R520)),""))))</f>
        <v>#N/A</v>
      </c>
      <c r="U520" s="37" t="e">
        <f t="shared" ca="1" si="105"/>
        <v>#N/A</v>
      </c>
      <c r="V520" s="44" t="e">
        <f t="shared" ca="1" si="106"/>
        <v>#N/A</v>
      </c>
    </row>
    <row r="521" spans="2:22">
      <c r="B521" s="38" t="e">
        <f t="shared" ca="1" si="107"/>
        <v>#N/A</v>
      </c>
      <c r="C521" s="77" t="e">
        <f t="shared" ca="1" si="108"/>
        <v>#N/A</v>
      </c>
      <c r="D521" s="78" t="e">
        <f ca="1">+IF(AND(B521&lt;$G$7),VLOOKUP($B$1,Inventory!$A$1:$BC$500,35,FALSE),IF(AND(B521=$G$7,pmt_timing="End"),VLOOKUP($B$1,Inventory!$A$1:$BC$500,35,FALSE),0))</f>
        <v>#N/A</v>
      </c>
      <c r="E521" s="78">
        <v>0</v>
      </c>
      <c r="F521" s="78">
        <v>0</v>
      </c>
      <c r="G521" s="78">
        <v>0</v>
      </c>
      <c r="H521" s="78">
        <v>0</v>
      </c>
      <c r="I521" s="78">
        <v>0</v>
      </c>
      <c r="J521" s="78">
        <v>0</v>
      </c>
      <c r="K521" s="78">
        <v>0</v>
      </c>
      <c r="L521" s="36" t="e">
        <f t="shared" ca="1" si="102"/>
        <v>#N/A</v>
      </c>
      <c r="M521" s="37" t="e">
        <f t="shared" ca="1" si="100"/>
        <v>#N/A</v>
      </c>
      <c r="N521" s="37" t="e">
        <f t="shared" ca="1" si="101"/>
        <v>#N/A</v>
      </c>
      <c r="P521" s="35" t="e">
        <f t="shared" ca="1" si="109"/>
        <v>#N/A</v>
      </c>
      <c r="Q521" s="59" t="e">
        <f t="shared" ca="1" si="103"/>
        <v>#N/A</v>
      </c>
      <c r="R521" s="44" t="e">
        <f t="shared" ca="1" si="104"/>
        <v>#N/A</v>
      </c>
      <c r="S521" s="37" t="e">
        <f ca="1">IF(P521="","",IF(P521="Total",SUM($S$19:S520),VLOOKUP($P521,$B$12:$L575,11,FALSE)))</f>
        <v>#N/A</v>
      </c>
      <c r="T521" s="44" t="e">
        <f ca="1">IF(payfreq="Annually",IF(P521="","",IF(P521="Total",SUM($T$19:T520),Adj_Rate*$R521)),IF(payfreq="Semiannually",IF(P521="","",IF(P521="Total",SUM($T$19:T520),Adj_Rate/2*$R521)),IF(payfreq="Quarterly",IF(P521="","",IF(P521="Total",SUM($T$19:T520),Adj_Rate/4*$R521)),IF(payfreq="Monthly",IF(P521="","",IF(P521="Total",SUM($T$19:T520),Adj_Rate/12*$R521)),""))))</f>
        <v>#N/A</v>
      </c>
      <c r="U521" s="37" t="e">
        <f t="shared" ca="1" si="105"/>
        <v>#N/A</v>
      </c>
      <c r="V521" s="44" t="e">
        <f t="shared" ca="1" si="106"/>
        <v>#N/A</v>
      </c>
    </row>
    <row r="522" spans="2:22">
      <c r="B522" s="38" t="e">
        <f t="shared" ca="1" si="107"/>
        <v>#N/A</v>
      </c>
      <c r="C522" s="77" t="e">
        <f t="shared" ca="1" si="108"/>
        <v>#N/A</v>
      </c>
      <c r="D522" s="78" t="e">
        <f ca="1">+IF(AND(B522&lt;$G$7),VLOOKUP($B$1,Inventory!$A$1:$BC$500,35,FALSE),IF(AND(B522=$G$7,pmt_timing="End"),VLOOKUP($B$1,Inventory!$A$1:$BC$500,35,FALSE),0))</f>
        <v>#N/A</v>
      </c>
      <c r="E522" s="78">
        <v>0</v>
      </c>
      <c r="F522" s="78">
        <v>0</v>
      </c>
      <c r="G522" s="78">
        <v>0</v>
      </c>
      <c r="H522" s="78">
        <v>0</v>
      </c>
      <c r="I522" s="78">
        <v>0</v>
      </c>
      <c r="J522" s="78">
        <v>0</v>
      </c>
      <c r="K522" s="78">
        <v>0</v>
      </c>
      <c r="L522" s="36" t="e">
        <f t="shared" ca="1" si="102"/>
        <v>#N/A</v>
      </c>
      <c r="M522" s="37" t="e">
        <f t="shared" ca="1" si="100"/>
        <v>#N/A</v>
      </c>
      <c r="N522" s="37" t="e">
        <f t="shared" ca="1" si="101"/>
        <v>#N/A</v>
      </c>
      <c r="P522" s="35" t="e">
        <f t="shared" ca="1" si="109"/>
        <v>#N/A</v>
      </c>
      <c r="Q522" s="59" t="e">
        <f t="shared" ca="1" si="103"/>
        <v>#N/A</v>
      </c>
      <c r="R522" s="44" t="e">
        <f t="shared" ca="1" si="104"/>
        <v>#N/A</v>
      </c>
      <c r="S522" s="37" t="e">
        <f ca="1">IF(P522="","",IF(P522="Total",SUM($S$19:S521),VLOOKUP($P522,$B$12:$L576,11,FALSE)))</f>
        <v>#N/A</v>
      </c>
      <c r="T522" s="44" t="e">
        <f ca="1">IF(payfreq="Annually",IF(P522="","",IF(P522="Total",SUM($T$19:T521),Adj_Rate*$R522)),IF(payfreq="Semiannually",IF(P522="","",IF(P522="Total",SUM($T$19:T521),Adj_Rate/2*$R522)),IF(payfreq="Quarterly",IF(P522="","",IF(P522="Total",SUM($T$19:T521),Adj_Rate/4*$R522)),IF(payfreq="Monthly",IF(P522="","",IF(P522="Total",SUM($T$19:T521),Adj_Rate/12*$R522)),""))))</f>
        <v>#N/A</v>
      </c>
      <c r="U522" s="37" t="e">
        <f t="shared" ca="1" si="105"/>
        <v>#N/A</v>
      </c>
      <c r="V522" s="44" t="e">
        <f t="shared" ca="1" si="106"/>
        <v>#N/A</v>
      </c>
    </row>
    <row r="523" spans="2:22">
      <c r="B523" s="38" t="e">
        <f t="shared" ca="1" si="107"/>
        <v>#N/A</v>
      </c>
      <c r="C523" s="77" t="e">
        <f t="shared" ca="1" si="108"/>
        <v>#N/A</v>
      </c>
      <c r="D523" s="78" t="e">
        <f ca="1">+IF(AND(B523&lt;$G$7),VLOOKUP($B$1,Inventory!$A$1:$BC$500,35,FALSE),IF(AND(B523=$G$7,pmt_timing="End"),VLOOKUP($B$1,Inventory!$A$1:$BC$500,35,FALSE),0))</f>
        <v>#N/A</v>
      </c>
      <c r="E523" s="78">
        <v>0</v>
      </c>
      <c r="F523" s="78">
        <v>0</v>
      </c>
      <c r="G523" s="78">
        <v>0</v>
      </c>
      <c r="H523" s="78">
        <v>0</v>
      </c>
      <c r="I523" s="78">
        <v>0</v>
      </c>
      <c r="J523" s="78">
        <v>0</v>
      </c>
      <c r="K523" s="78">
        <v>0</v>
      </c>
      <c r="L523" s="36" t="e">
        <f t="shared" ca="1" si="102"/>
        <v>#N/A</v>
      </c>
      <c r="M523" s="37" t="e">
        <f t="shared" ca="1" si="100"/>
        <v>#N/A</v>
      </c>
      <c r="N523" s="37" t="e">
        <f t="shared" ca="1" si="101"/>
        <v>#N/A</v>
      </c>
      <c r="P523" s="35" t="e">
        <f t="shared" ca="1" si="109"/>
        <v>#N/A</v>
      </c>
      <c r="Q523" s="59" t="e">
        <f t="shared" ca="1" si="103"/>
        <v>#N/A</v>
      </c>
      <c r="R523" s="44" t="e">
        <f t="shared" ca="1" si="104"/>
        <v>#N/A</v>
      </c>
      <c r="S523" s="37" t="e">
        <f ca="1">IF(P523="","",IF(P523="Total",SUM($S$19:S522),VLOOKUP($P523,$B$12:$L577,11,FALSE)))</f>
        <v>#N/A</v>
      </c>
      <c r="T523" s="44" t="e">
        <f ca="1">IF(payfreq="Annually",IF(P523="","",IF(P523="Total",SUM($T$19:T522),Adj_Rate*$R523)),IF(payfreq="Semiannually",IF(P523="","",IF(P523="Total",SUM($T$19:T522),Adj_Rate/2*$R523)),IF(payfreq="Quarterly",IF(P523="","",IF(P523="Total",SUM($T$19:T522),Adj_Rate/4*$R523)),IF(payfreq="Monthly",IF(P523="","",IF(P523="Total",SUM($T$19:T522),Adj_Rate/12*$R523)),""))))</f>
        <v>#N/A</v>
      </c>
      <c r="U523" s="37" t="e">
        <f t="shared" ca="1" si="105"/>
        <v>#N/A</v>
      </c>
      <c r="V523" s="44" t="e">
        <f t="shared" ca="1" si="106"/>
        <v>#N/A</v>
      </c>
    </row>
    <row r="524" spans="2:22">
      <c r="B524" s="38" t="e">
        <f t="shared" ca="1" si="107"/>
        <v>#N/A</v>
      </c>
      <c r="C524" s="77" t="e">
        <f t="shared" ca="1" si="108"/>
        <v>#N/A</v>
      </c>
      <c r="D524" s="78" t="e">
        <f ca="1">+IF(AND(B524&lt;$G$7),VLOOKUP($B$1,Inventory!$A$1:$BC$500,35,FALSE),IF(AND(B524=$G$7,pmt_timing="End"),VLOOKUP($B$1,Inventory!$A$1:$BC$500,35,FALSE),0))</f>
        <v>#N/A</v>
      </c>
      <c r="E524" s="78">
        <v>0</v>
      </c>
      <c r="F524" s="78">
        <v>0</v>
      </c>
      <c r="G524" s="78">
        <v>0</v>
      </c>
      <c r="H524" s="78">
        <v>0</v>
      </c>
      <c r="I524" s="78">
        <v>0</v>
      </c>
      <c r="J524" s="78">
        <v>0</v>
      </c>
      <c r="K524" s="78">
        <v>0</v>
      </c>
      <c r="L524" s="36" t="e">
        <f t="shared" ca="1" si="102"/>
        <v>#N/A</v>
      </c>
      <c r="M524" s="37" t="e">
        <f t="shared" ca="1" si="100"/>
        <v>#N/A</v>
      </c>
      <c r="N524" s="37" t="e">
        <f t="shared" ca="1" si="101"/>
        <v>#N/A</v>
      </c>
      <c r="P524" s="35" t="e">
        <f t="shared" ca="1" si="109"/>
        <v>#N/A</v>
      </c>
      <c r="Q524" s="59" t="e">
        <f t="shared" ca="1" si="103"/>
        <v>#N/A</v>
      </c>
      <c r="R524" s="44" t="e">
        <f t="shared" ca="1" si="104"/>
        <v>#N/A</v>
      </c>
      <c r="S524" s="37" t="e">
        <f ca="1">IF(P524="","",IF(P524="Total",SUM($S$19:S523),VLOOKUP($P524,$B$12:$L578,11,FALSE)))</f>
        <v>#N/A</v>
      </c>
      <c r="T524" s="44" t="e">
        <f ca="1">IF(payfreq="Annually",IF(P524="","",IF(P524="Total",SUM($T$19:T523),Adj_Rate*$R524)),IF(payfreq="Semiannually",IF(P524="","",IF(P524="Total",SUM($T$19:T523),Adj_Rate/2*$R524)),IF(payfreq="Quarterly",IF(P524="","",IF(P524="Total",SUM($T$19:T523),Adj_Rate/4*$R524)),IF(payfreq="Monthly",IF(P524="","",IF(P524="Total",SUM($T$19:T523),Adj_Rate/12*$R524)),""))))</f>
        <v>#N/A</v>
      </c>
      <c r="U524" s="37" t="e">
        <f t="shared" ca="1" si="105"/>
        <v>#N/A</v>
      </c>
      <c r="V524" s="44" t="e">
        <f t="shared" ca="1" si="106"/>
        <v>#N/A</v>
      </c>
    </row>
    <row r="525" spans="2:22">
      <c r="B525" s="38" t="e">
        <f t="shared" ca="1" si="107"/>
        <v>#N/A</v>
      </c>
      <c r="C525" s="77" t="e">
        <f t="shared" ca="1" si="108"/>
        <v>#N/A</v>
      </c>
      <c r="D525" s="78" t="e">
        <f ca="1">+IF(AND(B525&lt;$G$7),VLOOKUP($B$1,Inventory!$A$1:$BC$500,35,FALSE),IF(AND(B525=$G$7,pmt_timing="End"),VLOOKUP($B$1,Inventory!$A$1:$BC$500,35,FALSE),0))</f>
        <v>#N/A</v>
      </c>
      <c r="E525" s="78">
        <v>0</v>
      </c>
      <c r="F525" s="78">
        <v>0</v>
      </c>
      <c r="G525" s="78">
        <v>0</v>
      </c>
      <c r="H525" s="78">
        <v>0</v>
      </c>
      <c r="I525" s="78">
        <v>0</v>
      </c>
      <c r="J525" s="78">
        <v>0</v>
      </c>
      <c r="K525" s="78">
        <v>0</v>
      </c>
      <c r="L525" s="36" t="e">
        <f t="shared" ca="1" si="102"/>
        <v>#N/A</v>
      </c>
      <c r="M525" s="37" t="e">
        <f t="shared" ca="1" si="100"/>
        <v>#N/A</v>
      </c>
      <c r="N525" s="37" t="e">
        <f t="shared" ca="1" si="101"/>
        <v>#N/A</v>
      </c>
      <c r="P525" s="35" t="e">
        <f t="shared" ca="1" si="109"/>
        <v>#N/A</v>
      </c>
      <c r="Q525" s="59" t="e">
        <f t="shared" ca="1" si="103"/>
        <v>#N/A</v>
      </c>
      <c r="R525" s="44" t="e">
        <f t="shared" ca="1" si="104"/>
        <v>#N/A</v>
      </c>
      <c r="S525" s="37" t="e">
        <f ca="1">IF(P525="","",IF(P525="Total",SUM($S$19:S524),VLOOKUP($P525,$B$12:$L579,11,FALSE)))</f>
        <v>#N/A</v>
      </c>
      <c r="T525" s="44" t="e">
        <f ca="1">IF(payfreq="Annually",IF(P525="","",IF(P525="Total",SUM($T$19:T524),Adj_Rate*$R525)),IF(payfreq="Semiannually",IF(P525="","",IF(P525="Total",SUM($T$19:T524),Adj_Rate/2*$R525)),IF(payfreq="Quarterly",IF(P525="","",IF(P525="Total",SUM($T$19:T524),Adj_Rate/4*$R525)),IF(payfreq="Monthly",IF(P525="","",IF(P525="Total",SUM($T$19:T524),Adj_Rate/12*$R525)),""))))</f>
        <v>#N/A</v>
      </c>
      <c r="U525" s="37" t="e">
        <f t="shared" ca="1" si="105"/>
        <v>#N/A</v>
      </c>
      <c r="V525" s="44" t="e">
        <f t="shared" ca="1" si="106"/>
        <v>#N/A</v>
      </c>
    </row>
    <row r="526" spans="2:22">
      <c r="B526" s="38" t="e">
        <f t="shared" ca="1" si="107"/>
        <v>#N/A</v>
      </c>
      <c r="C526" s="77" t="e">
        <f t="shared" ca="1" si="108"/>
        <v>#N/A</v>
      </c>
      <c r="D526" s="78" t="e">
        <f ca="1">+IF(AND(B526&lt;$G$7),VLOOKUP($B$1,Inventory!$A$1:$BC$500,35,FALSE),IF(AND(B526=$G$7,pmt_timing="End"),VLOOKUP($B$1,Inventory!$A$1:$BC$500,35,FALSE),0))</f>
        <v>#N/A</v>
      </c>
      <c r="E526" s="78">
        <v>0</v>
      </c>
      <c r="F526" s="78">
        <v>0</v>
      </c>
      <c r="G526" s="78">
        <v>0</v>
      </c>
      <c r="H526" s="78">
        <v>0</v>
      </c>
      <c r="I526" s="78">
        <v>0</v>
      </c>
      <c r="J526" s="78">
        <v>0</v>
      </c>
      <c r="K526" s="78">
        <v>0</v>
      </c>
      <c r="L526" s="36" t="e">
        <f t="shared" ca="1" si="102"/>
        <v>#N/A</v>
      </c>
      <c r="M526" s="37" t="e">
        <f t="shared" ca="1" si="100"/>
        <v>#N/A</v>
      </c>
      <c r="N526" s="37" t="e">
        <f t="shared" ca="1" si="101"/>
        <v>#N/A</v>
      </c>
      <c r="P526" s="35" t="e">
        <f t="shared" ca="1" si="109"/>
        <v>#N/A</v>
      </c>
      <c r="Q526" s="59" t="e">
        <f t="shared" ca="1" si="103"/>
        <v>#N/A</v>
      </c>
      <c r="R526" s="44" t="e">
        <f t="shared" ca="1" si="104"/>
        <v>#N/A</v>
      </c>
      <c r="S526" s="37" t="e">
        <f ca="1">IF(P526="","",IF(P526="Total",SUM($S$19:S525),VLOOKUP($P526,$B$12:$L580,11,FALSE)))</f>
        <v>#N/A</v>
      </c>
      <c r="T526" s="44" t="e">
        <f ca="1">IF(payfreq="Annually",IF(P526="","",IF(P526="Total",SUM($T$19:T525),Adj_Rate*$R526)),IF(payfreq="Semiannually",IF(P526="","",IF(P526="Total",SUM($T$19:T525),Adj_Rate/2*$R526)),IF(payfreq="Quarterly",IF(P526="","",IF(P526="Total",SUM($T$19:T525),Adj_Rate/4*$R526)),IF(payfreq="Monthly",IF(P526="","",IF(P526="Total",SUM($T$19:T525),Adj_Rate/12*$R526)),""))))</f>
        <v>#N/A</v>
      </c>
      <c r="U526" s="37" t="e">
        <f t="shared" ca="1" si="105"/>
        <v>#N/A</v>
      </c>
      <c r="V526" s="44" t="e">
        <f t="shared" ca="1" si="106"/>
        <v>#N/A</v>
      </c>
    </row>
    <row r="527" spans="2:22">
      <c r="B527" s="38" t="e">
        <f t="shared" ca="1" si="107"/>
        <v>#N/A</v>
      </c>
      <c r="C527" s="77" t="e">
        <f t="shared" ca="1" si="108"/>
        <v>#N/A</v>
      </c>
      <c r="D527" s="78" t="e">
        <f ca="1">+IF(AND(B527&lt;$G$7),VLOOKUP($B$1,Inventory!$A$1:$BC$500,35,FALSE),IF(AND(B527=$G$7,pmt_timing="End"),VLOOKUP($B$1,Inventory!$A$1:$BC$500,35,FALSE),0))</f>
        <v>#N/A</v>
      </c>
      <c r="E527" s="78">
        <v>0</v>
      </c>
      <c r="F527" s="78">
        <v>0</v>
      </c>
      <c r="G527" s="78">
        <v>0</v>
      </c>
      <c r="H527" s="78">
        <v>0</v>
      </c>
      <c r="I527" s="78">
        <v>0</v>
      </c>
      <c r="J527" s="78">
        <v>0</v>
      </c>
      <c r="K527" s="78">
        <v>0</v>
      </c>
      <c r="L527" s="36" t="e">
        <f t="shared" ca="1" si="102"/>
        <v>#N/A</v>
      </c>
      <c r="M527" s="37" t="e">
        <f t="shared" ca="1" si="100"/>
        <v>#N/A</v>
      </c>
      <c r="N527" s="37" t="e">
        <f t="shared" ca="1" si="101"/>
        <v>#N/A</v>
      </c>
      <c r="P527" s="35" t="e">
        <f t="shared" ca="1" si="109"/>
        <v>#N/A</v>
      </c>
      <c r="Q527" s="59" t="e">
        <f t="shared" ca="1" si="103"/>
        <v>#N/A</v>
      </c>
      <c r="R527" s="44" t="e">
        <f t="shared" ca="1" si="104"/>
        <v>#N/A</v>
      </c>
      <c r="S527" s="37" t="e">
        <f ca="1">IF(P527="","",IF(P527="Total",SUM($S$19:S526),VLOOKUP($P527,$B$12:$L581,11,FALSE)))</f>
        <v>#N/A</v>
      </c>
      <c r="T527" s="44" t="e">
        <f ca="1">IF(payfreq="Annually",IF(P527="","",IF(P527="Total",SUM($T$19:T526),Adj_Rate*$R527)),IF(payfreq="Semiannually",IF(P527="","",IF(P527="Total",SUM($T$19:T526),Adj_Rate/2*$R527)),IF(payfreq="Quarterly",IF(P527="","",IF(P527="Total",SUM($T$19:T526),Adj_Rate/4*$R527)),IF(payfreq="Monthly",IF(P527="","",IF(P527="Total",SUM($T$19:T526),Adj_Rate/12*$R527)),""))))</f>
        <v>#N/A</v>
      </c>
      <c r="U527" s="37" t="e">
        <f t="shared" ca="1" si="105"/>
        <v>#N/A</v>
      </c>
      <c r="V527" s="44" t="e">
        <f t="shared" ca="1" si="106"/>
        <v>#N/A</v>
      </c>
    </row>
    <row r="528" spans="2:22">
      <c r="B528" s="38" t="e">
        <f t="shared" ca="1" si="107"/>
        <v>#N/A</v>
      </c>
      <c r="C528" s="77" t="e">
        <f t="shared" ca="1" si="108"/>
        <v>#N/A</v>
      </c>
      <c r="D528" s="78" t="e">
        <f ca="1">+IF(AND(B528&lt;$G$7),VLOOKUP($B$1,Inventory!$A$1:$BC$500,35,FALSE),IF(AND(B528=$G$7,pmt_timing="End"),VLOOKUP($B$1,Inventory!$A$1:$BC$500,35,FALSE),0))</f>
        <v>#N/A</v>
      </c>
      <c r="E528" s="78">
        <v>0</v>
      </c>
      <c r="F528" s="78">
        <v>0</v>
      </c>
      <c r="G528" s="78">
        <v>0</v>
      </c>
      <c r="H528" s="78">
        <v>0</v>
      </c>
      <c r="I528" s="78">
        <v>0</v>
      </c>
      <c r="J528" s="78">
        <v>0</v>
      </c>
      <c r="K528" s="78">
        <v>0</v>
      </c>
      <c r="L528" s="36" t="e">
        <f t="shared" ca="1" si="102"/>
        <v>#N/A</v>
      </c>
      <c r="M528" s="37" t="e">
        <f t="shared" ca="1" si="100"/>
        <v>#N/A</v>
      </c>
      <c r="N528" s="37" t="e">
        <f t="shared" ca="1" si="101"/>
        <v>#N/A</v>
      </c>
      <c r="P528" s="35" t="e">
        <f t="shared" ca="1" si="109"/>
        <v>#N/A</v>
      </c>
      <c r="Q528" s="59" t="e">
        <f t="shared" ca="1" si="103"/>
        <v>#N/A</v>
      </c>
      <c r="R528" s="44" t="e">
        <f t="shared" ca="1" si="104"/>
        <v>#N/A</v>
      </c>
      <c r="S528" s="37" t="e">
        <f ca="1">IF(P528="","",IF(P528="Total",SUM($S$19:S527),VLOOKUP($P528,$B$12:$L582,11,FALSE)))</f>
        <v>#N/A</v>
      </c>
      <c r="T528" s="44" t="e">
        <f ca="1">IF(payfreq="Annually",IF(P528="","",IF(P528="Total",SUM($T$19:T527),Adj_Rate*$R528)),IF(payfreq="Semiannually",IF(P528="","",IF(P528="Total",SUM($T$19:T527),Adj_Rate/2*$R528)),IF(payfreq="Quarterly",IF(P528="","",IF(P528="Total",SUM($T$19:T527),Adj_Rate/4*$R528)),IF(payfreq="Monthly",IF(P528="","",IF(P528="Total",SUM($T$19:T527),Adj_Rate/12*$R528)),""))))</f>
        <v>#N/A</v>
      </c>
      <c r="U528" s="37" t="e">
        <f t="shared" ca="1" si="105"/>
        <v>#N/A</v>
      </c>
      <c r="V528" s="44" t="e">
        <f t="shared" ca="1" si="106"/>
        <v>#N/A</v>
      </c>
    </row>
    <row r="529" spans="2:22">
      <c r="B529" s="38" t="e">
        <f t="shared" ca="1" si="107"/>
        <v>#N/A</v>
      </c>
      <c r="C529" s="77" t="e">
        <f t="shared" ca="1" si="108"/>
        <v>#N/A</v>
      </c>
      <c r="D529" s="78" t="e">
        <f ca="1">+IF(AND(B529&lt;$G$7),VLOOKUP($B$1,Inventory!$A$1:$BC$500,35,FALSE),IF(AND(B529=$G$7,pmt_timing="End"),VLOOKUP($B$1,Inventory!$A$1:$BC$500,35,FALSE),0))</f>
        <v>#N/A</v>
      </c>
      <c r="E529" s="78">
        <v>0</v>
      </c>
      <c r="F529" s="78">
        <v>0</v>
      </c>
      <c r="G529" s="78">
        <v>0</v>
      </c>
      <c r="H529" s="78">
        <v>0</v>
      </c>
      <c r="I529" s="78">
        <v>0</v>
      </c>
      <c r="J529" s="78">
        <v>0</v>
      </c>
      <c r="K529" s="78">
        <v>0</v>
      </c>
      <c r="L529" s="36" t="e">
        <f t="shared" ca="1" si="102"/>
        <v>#N/A</v>
      </c>
      <c r="M529" s="37" t="e">
        <f t="shared" ca="1" si="100"/>
        <v>#N/A</v>
      </c>
      <c r="N529" s="37" t="e">
        <f t="shared" ca="1" si="101"/>
        <v>#N/A</v>
      </c>
      <c r="P529" s="35" t="e">
        <f t="shared" ca="1" si="109"/>
        <v>#N/A</v>
      </c>
      <c r="Q529" s="59" t="e">
        <f t="shared" ca="1" si="103"/>
        <v>#N/A</v>
      </c>
      <c r="R529" s="44" t="e">
        <f t="shared" ca="1" si="104"/>
        <v>#N/A</v>
      </c>
      <c r="S529" s="37" t="e">
        <f ca="1">IF(P529="","",IF(P529="Total",SUM($S$19:S528),VLOOKUP($P529,$B$12:$L583,11,FALSE)))</f>
        <v>#N/A</v>
      </c>
      <c r="T529" s="44" t="e">
        <f ca="1">IF(payfreq="Annually",IF(P529="","",IF(P529="Total",SUM($T$19:T528),Adj_Rate*$R529)),IF(payfreq="Semiannually",IF(P529="","",IF(P529="Total",SUM($T$19:T528),Adj_Rate/2*$R529)),IF(payfreq="Quarterly",IF(P529="","",IF(P529="Total",SUM($T$19:T528),Adj_Rate/4*$R529)),IF(payfreq="Monthly",IF(P529="","",IF(P529="Total",SUM($T$19:T528),Adj_Rate/12*$R529)),""))))</f>
        <v>#N/A</v>
      </c>
      <c r="U529" s="37" t="e">
        <f t="shared" ca="1" si="105"/>
        <v>#N/A</v>
      </c>
      <c r="V529" s="44" t="e">
        <f t="shared" ca="1" si="106"/>
        <v>#N/A</v>
      </c>
    </row>
    <row r="530" spans="2:22">
      <c r="B530" s="38" t="e">
        <f t="shared" ca="1" si="107"/>
        <v>#N/A</v>
      </c>
      <c r="C530" s="77" t="e">
        <f t="shared" ca="1" si="108"/>
        <v>#N/A</v>
      </c>
      <c r="D530" s="78" t="e">
        <f ca="1">+IF(AND(B530&lt;$G$7),VLOOKUP($B$1,Inventory!$A$1:$BC$500,35,FALSE),IF(AND(B530=$G$7,pmt_timing="End"),VLOOKUP($B$1,Inventory!$A$1:$BC$500,35,FALSE),0))</f>
        <v>#N/A</v>
      </c>
      <c r="E530" s="78">
        <v>0</v>
      </c>
      <c r="F530" s="78">
        <v>0</v>
      </c>
      <c r="G530" s="78">
        <v>0</v>
      </c>
      <c r="H530" s="78">
        <v>0</v>
      </c>
      <c r="I530" s="78">
        <v>0</v>
      </c>
      <c r="J530" s="78">
        <v>0</v>
      </c>
      <c r="K530" s="78">
        <v>0</v>
      </c>
      <c r="L530" s="36" t="e">
        <f t="shared" ca="1" si="102"/>
        <v>#N/A</v>
      </c>
      <c r="M530" s="37" t="e">
        <f t="shared" ref="M530:M593" ca="1" si="110">IF(pmt_timing="End",IF($B530&gt;term, "",$L530/(1+Adj_Rate/12)^B530),"")</f>
        <v>#N/A</v>
      </c>
      <c r="N530" s="37" t="e">
        <f t="shared" ca="1" si="101"/>
        <v>#N/A</v>
      </c>
      <c r="P530" s="35" t="e">
        <f t="shared" ca="1" si="109"/>
        <v>#N/A</v>
      </c>
      <c r="Q530" s="59" t="e">
        <f t="shared" ca="1" si="103"/>
        <v>#N/A</v>
      </c>
      <c r="R530" s="44" t="e">
        <f t="shared" ca="1" si="104"/>
        <v>#N/A</v>
      </c>
      <c r="S530" s="37" t="e">
        <f ca="1">IF(P530="","",IF(P530="Total",SUM($S$19:S529),VLOOKUP($P530,$B$12:$L584,11,FALSE)))</f>
        <v>#N/A</v>
      </c>
      <c r="T530" s="44" t="e">
        <f ca="1">IF(payfreq="Annually",IF(P530="","",IF(P530="Total",SUM($T$19:T529),Adj_Rate*$R530)),IF(payfreq="Semiannually",IF(P530="","",IF(P530="Total",SUM($T$19:T529),Adj_Rate/2*$R530)),IF(payfreq="Quarterly",IF(P530="","",IF(P530="Total",SUM($T$19:T529),Adj_Rate/4*$R530)),IF(payfreq="Monthly",IF(P530="","",IF(P530="Total",SUM($T$19:T529),Adj_Rate/12*$R530)),""))))</f>
        <v>#N/A</v>
      </c>
      <c r="U530" s="37" t="e">
        <f t="shared" ca="1" si="105"/>
        <v>#N/A</v>
      </c>
      <c r="V530" s="44" t="e">
        <f t="shared" ca="1" si="106"/>
        <v>#N/A</v>
      </c>
    </row>
    <row r="531" spans="2:22">
      <c r="B531" s="38" t="e">
        <f t="shared" ca="1" si="107"/>
        <v>#N/A</v>
      </c>
      <c r="C531" s="77" t="e">
        <f t="shared" ca="1" si="108"/>
        <v>#N/A</v>
      </c>
      <c r="D531" s="78" t="e">
        <f ca="1">+IF(AND(B531&lt;$G$7),VLOOKUP($B$1,Inventory!$A$1:$BC$500,35,FALSE),IF(AND(B531=$G$7,pmt_timing="End"),VLOOKUP($B$1,Inventory!$A$1:$BC$500,35,FALSE),0))</f>
        <v>#N/A</v>
      </c>
      <c r="E531" s="78">
        <v>0</v>
      </c>
      <c r="F531" s="78">
        <v>0</v>
      </c>
      <c r="G531" s="78">
        <v>0</v>
      </c>
      <c r="H531" s="78">
        <v>0</v>
      </c>
      <c r="I531" s="78">
        <v>0</v>
      </c>
      <c r="J531" s="78">
        <v>0</v>
      </c>
      <c r="K531" s="78">
        <v>0</v>
      </c>
      <c r="L531" s="36" t="e">
        <f t="shared" ca="1" si="102"/>
        <v>#N/A</v>
      </c>
      <c r="M531" s="37" t="e">
        <f t="shared" ca="1" si="110"/>
        <v>#N/A</v>
      </c>
      <c r="N531" s="37" t="e">
        <f t="shared" ref="N531:N594" ca="1" si="111">IF(AND(payfreq="Annually",pmt_timing="Beginning",$B531&lt;=term),$L531/(1+Adj_Rate)^($B531),IF(AND(payfreq="Semiannually",pmt_timing="Beginning",$B531&lt;=term),$L531/(1+Adj_Rate/2)^($B531),IF(AND(payfreq="Quarterly",pmt_timing="Beginning",$B531&lt;=term),$L531/(1+Adj_Rate/4)^($B531),IF(AND(payfreq="Monthly",pmt_timing="Beginning",$B531&lt;=term),$L531/(1+Adj_Rate/12)^($B531),""))))</f>
        <v>#N/A</v>
      </c>
      <c r="P531" s="35" t="e">
        <f t="shared" ca="1" si="109"/>
        <v>#N/A</v>
      </c>
      <c r="Q531" s="59" t="e">
        <f t="shared" ca="1" si="103"/>
        <v>#N/A</v>
      </c>
      <c r="R531" s="44" t="e">
        <f t="shared" ca="1" si="104"/>
        <v>#N/A</v>
      </c>
      <c r="S531" s="37" t="e">
        <f ca="1">IF(P531="","",IF(P531="Total",SUM($S$19:S530),VLOOKUP($P531,$B$12:$L585,11,FALSE)))</f>
        <v>#N/A</v>
      </c>
      <c r="T531" s="44" t="e">
        <f ca="1">IF(payfreq="Annually",IF(P531="","",IF(P531="Total",SUM($T$19:T530),Adj_Rate*$R531)),IF(payfreq="Semiannually",IF(P531="","",IF(P531="Total",SUM($T$19:T530),Adj_Rate/2*$R531)),IF(payfreq="Quarterly",IF(P531="","",IF(P531="Total",SUM($T$19:T530),Adj_Rate/4*$R531)),IF(payfreq="Monthly",IF(P531="","",IF(P531="Total",SUM($T$19:T530),Adj_Rate/12*$R531)),""))))</f>
        <v>#N/A</v>
      </c>
      <c r="U531" s="37" t="e">
        <f t="shared" ca="1" si="105"/>
        <v>#N/A</v>
      </c>
      <c r="V531" s="44" t="e">
        <f t="shared" ca="1" si="106"/>
        <v>#N/A</v>
      </c>
    </row>
    <row r="532" spans="2:22">
      <c r="B532" s="38" t="e">
        <f t="shared" ca="1" si="107"/>
        <v>#N/A</v>
      </c>
      <c r="C532" s="77" t="e">
        <f t="shared" ca="1" si="108"/>
        <v>#N/A</v>
      </c>
      <c r="D532" s="78" t="e">
        <f ca="1">+IF(AND(B532&lt;$G$7),VLOOKUP($B$1,Inventory!$A$1:$BC$500,35,FALSE),IF(AND(B532=$G$7,pmt_timing="End"),VLOOKUP($B$1,Inventory!$A$1:$BC$500,35,FALSE),0))</f>
        <v>#N/A</v>
      </c>
      <c r="E532" s="78">
        <v>0</v>
      </c>
      <c r="F532" s="78">
        <v>0</v>
      </c>
      <c r="G532" s="78">
        <v>0</v>
      </c>
      <c r="H532" s="78">
        <v>0</v>
      </c>
      <c r="I532" s="78">
        <v>0</v>
      </c>
      <c r="J532" s="78">
        <v>0</v>
      </c>
      <c r="K532" s="78">
        <v>0</v>
      </c>
      <c r="L532" s="36" t="e">
        <f t="shared" ref="L532:L595" ca="1" si="112">SUM(D532:K532)</f>
        <v>#N/A</v>
      </c>
      <c r="M532" s="37" t="e">
        <f t="shared" ca="1" si="110"/>
        <v>#N/A</v>
      </c>
      <c r="N532" s="37" t="e">
        <f t="shared" ca="1" si="111"/>
        <v>#N/A</v>
      </c>
      <c r="P532" s="35" t="e">
        <f t="shared" ca="1" si="109"/>
        <v>#N/A</v>
      </c>
      <c r="Q532" s="59" t="e">
        <f t="shared" ref="Q532:Q595" ca="1" si="113">IF(P532="","",IF(P532="total","",IF(payfreq="Annually",DATE(YEAR(Q531)+1,MONTH(Q531),DAY(Q531)),IF(payfreq="Semiannually",DATE(YEAR(Q531),MONTH(Q531)+6,DAY(Q531)),IF(payfreq="Quarterly",DATE(YEAR(Q531),MONTH(Q531)+3,DAY(Q531)),IF(payfreq="Monthly",DATE(YEAR(Q531),MONTH(Q531)+1,DAY(Q531))))))))</f>
        <v>#N/A</v>
      </c>
      <c r="R532" s="44" t="e">
        <f t="shared" ref="R532:R595" ca="1" si="114">IF(OR(P532="",P532="Total"),"",V531)</f>
        <v>#N/A</v>
      </c>
      <c r="S532" s="37" t="e">
        <f ca="1">IF(P532="","",IF(P532="Total",SUM($S$19:S531),VLOOKUP($P532,$B$12:$L586,11,FALSE)))</f>
        <v>#N/A</v>
      </c>
      <c r="T532" s="44" t="e">
        <f ca="1">IF(payfreq="Annually",IF(P532="","",IF(P532="Total",SUM($T$19:T531),Adj_Rate*$R532)),IF(payfreq="Semiannually",IF(P532="","",IF(P532="Total",SUM($T$19:T531),Adj_Rate/2*$R532)),IF(payfreq="Quarterly",IF(P532="","",IF(P532="Total",SUM($T$19:T531),Adj_Rate/4*$R532)),IF(payfreq="Monthly",IF(P532="","",IF(P532="Total",SUM($T$19:T531),Adj_Rate/12*$R532)),""))))</f>
        <v>#N/A</v>
      </c>
      <c r="U532" s="37" t="e">
        <f t="shared" ref="U532:U595" ca="1" si="115">+IF(S532="","",S532-T532)</f>
        <v>#N/A</v>
      </c>
      <c r="V532" s="44" t="e">
        <f t="shared" ref="V532:V595" ca="1" si="116">IF(OR(P532="",P532="Total"),"",R532+T532-S532)</f>
        <v>#N/A</v>
      </c>
    </row>
    <row r="533" spans="2:22">
      <c r="B533" s="38" t="e">
        <f t="shared" ref="B533:B596" ca="1" si="117">IF(B532&lt;term,B532+1,"")</f>
        <v>#N/A</v>
      </c>
      <c r="C533" s="77" t="e">
        <f t="shared" ref="C533:C596" ca="1" si="118">IF(Q533 &lt;&gt; "",Q533, "")</f>
        <v>#N/A</v>
      </c>
      <c r="D533" s="78" t="e">
        <f ca="1">+IF(AND(B533&lt;$G$7),VLOOKUP($B$1,Inventory!$A$1:$BC$500,35,FALSE),IF(AND(B533=$G$7,pmt_timing="End"),VLOOKUP($B$1,Inventory!$A$1:$BC$500,35,FALSE),0))</f>
        <v>#N/A</v>
      </c>
      <c r="E533" s="78">
        <v>0</v>
      </c>
      <c r="F533" s="78">
        <v>0</v>
      </c>
      <c r="G533" s="78">
        <v>0</v>
      </c>
      <c r="H533" s="78">
        <v>0</v>
      </c>
      <c r="I533" s="78">
        <v>0</v>
      </c>
      <c r="J533" s="78">
        <v>0</v>
      </c>
      <c r="K533" s="78">
        <v>0</v>
      </c>
      <c r="L533" s="36" t="e">
        <f t="shared" ca="1" si="112"/>
        <v>#N/A</v>
      </c>
      <c r="M533" s="37" t="e">
        <f t="shared" ca="1" si="110"/>
        <v>#N/A</v>
      </c>
      <c r="N533" s="37" t="e">
        <f t="shared" ca="1" si="111"/>
        <v>#N/A</v>
      </c>
      <c r="P533" s="35" t="e">
        <f t="shared" ref="P533:P596" ca="1" si="119">IF(P532&lt;term,P532+1,IF(P532=term,"Total",""))</f>
        <v>#N/A</v>
      </c>
      <c r="Q533" s="59" t="e">
        <f t="shared" ca="1" si="113"/>
        <v>#N/A</v>
      </c>
      <c r="R533" s="44" t="e">
        <f t="shared" ca="1" si="114"/>
        <v>#N/A</v>
      </c>
      <c r="S533" s="37" t="e">
        <f ca="1">IF(P533="","",IF(P533="Total",SUM($S$19:S532),VLOOKUP($P533,$B$12:$L587,11,FALSE)))</f>
        <v>#N/A</v>
      </c>
      <c r="T533" s="44" t="e">
        <f ca="1">IF(payfreq="Annually",IF(P533="","",IF(P533="Total",SUM($T$19:T532),Adj_Rate*$R533)),IF(payfreq="Semiannually",IF(P533="","",IF(P533="Total",SUM($T$19:T532),Adj_Rate/2*$R533)),IF(payfreq="Quarterly",IF(P533="","",IF(P533="Total",SUM($T$19:T532),Adj_Rate/4*$R533)),IF(payfreq="Monthly",IF(P533="","",IF(P533="Total",SUM($T$19:T532),Adj_Rate/12*$R533)),""))))</f>
        <v>#N/A</v>
      </c>
      <c r="U533" s="37" t="e">
        <f t="shared" ca="1" si="115"/>
        <v>#N/A</v>
      </c>
      <c r="V533" s="44" t="e">
        <f t="shared" ca="1" si="116"/>
        <v>#N/A</v>
      </c>
    </row>
    <row r="534" spans="2:22">
      <c r="B534" s="38" t="e">
        <f t="shared" ca="1" si="117"/>
        <v>#N/A</v>
      </c>
      <c r="C534" s="77" t="e">
        <f t="shared" ca="1" si="118"/>
        <v>#N/A</v>
      </c>
      <c r="D534" s="78" t="e">
        <f ca="1">+IF(AND(B534&lt;$G$7),VLOOKUP($B$1,Inventory!$A$1:$BC$500,35,FALSE),IF(AND(B534=$G$7,pmt_timing="End"),VLOOKUP($B$1,Inventory!$A$1:$BC$500,35,FALSE),0))</f>
        <v>#N/A</v>
      </c>
      <c r="E534" s="78">
        <v>0</v>
      </c>
      <c r="F534" s="78">
        <v>0</v>
      </c>
      <c r="G534" s="78">
        <v>0</v>
      </c>
      <c r="H534" s="78">
        <v>0</v>
      </c>
      <c r="I534" s="78">
        <v>0</v>
      </c>
      <c r="J534" s="78">
        <v>0</v>
      </c>
      <c r="K534" s="78">
        <v>0</v>
      </c>
      <c r="L534" s="36" t="e">
        <f t="shared" ca="1" si="112"/>
        <v>#N/A</v>
      </c>
      <c r="M534" s="37" t="e">
        <f t="shared" ca="1" si="110"/>
        <v>#N/A</v>
      </c>
      <c r="N534" s="37" t="e">
        <f t="shared" ca="1" si="111"/>
        <v>#N/A</v>
      </c>
      <c r="P534" s="35" t="e">
        <f t="shared" ca="1" si="119"/>
        <v>#N/A</v>
      </c>
      <c r="Q534" s="59" t="e">
        <f t="shared" ca="1" si="113"/>
        <v>#N/A</v>
      </c>
      <c r="R534" s="44" t="e">
        <f t="shared" ca="1" si="114"/>
        <v>#N/A</v>
      </c>
      <c r="S534" s="37" t="e">
        <f ca="1">IF(P534="","",IF(P534="Total",SUM($S$19:S533),VLOOKUP($P534,$B$12:$L588,11,FALSE)))</f>
        <v>#N/A</v>
      </c>
      <c r="T534" s="44" t="e">
        <f ca="1">IF(payfreq="Annually",IF(P534="","",IF(P534="Total",SUM($T$19:T533),Adj_Rate*$R534)),IF(payfreq="Semiannually",IF(P534="","",IF(P534="Total",SUM($T$19:T533),Adj_Rate/2*$R534)),IF(payfreq="Quarterly",IF(P534="","",IF(P534="Total",SUM($T$19:T533),Adj_Rate/4*$R534)),IF(payfreq="Monthly",IF(P534="","",IF(P534="Total",SUM($T$19:T533),Adj_Rate/12*$R534)),""))))</f>
        <v>#N/A</v>
      </c>
      <c r="U534" s="37" t="e">
        <f t="shared" ca="1" si="115"/>
        <v>#N/A</v>
      </c>
      <c r="V534" s="44" t="e">
        <f t="shared" ca="1" si="116"/>
        <v>#N/A</v>
      </c>
    </row>
    <row r="535" spans="2:22">
      <c r="B535" s="38" t="e">
        <f t="shared" ca="1" si="117"/>
        <v>#N/A</v>
      </c>
      <c r="C535" s="77" t="e">
        <f t="shared" ca="1" si="118"/>
        <v>#N/A</v>
      </c>
      <c r="D535" s="78" t="e">
        <f ca="1">+IF(AND(B535&lt;$G$7),VLOOKUP($B$1,Inventory!$A$1:$BC$500,35,FALSE),IF(AND(B535=$G$7,pmt_timing="End"),VLOOKUP($B$1,Inventory!$A$1:$BC$500,35,FALSE),0))</f>
        <v>#N/A</v>
      </c>
      <c r="E535" s="78">
        <v>0</v>
      </c>
      <c r="F535" s="78">
        <v>0</v>
      </c>
      <c r="G535" s="78">
        <v>0</v>
      </c>
      <c r="H535" s="78">
        <v>0</v>
      </c>
      <c r="I535" s="78">
        <v>0</v>
      </c>
      <c r="J535" s="78">
        <v>0</v>
      </c>
      <c r="K535" s="78">
        <v>0</v>
      </c>
      <c r="L535" s="36" t="e">
        <f t="shared" ca="1" si="112"/>
        <v>#N/A</v>
      </c>
      <c r="M535" s="37" t="e">
        <f t="shared" ca="1" si="110"/>
        <v>#N/A</v>
      </c>
      <c r="N535" s="37" t="e">
        <f t="shared" ca="1" si="111"/>
        <v>#N/A</v>
      </c>
      <c r="P535" s="35" t="e">
        <f t="shared" ca="1" si="119"/>
        <v>#N/A</v>
      </c>
      <c r="Q535" s="59" t="e">
        <f t="shared" ca="1" si="113"/>
        <v>#N/A</v>
      </c>
      <c r="R535" s="44" t="e">
        <f t="shared" ca="1" si="114"/>
        <v>#N/A</v>
      </c>
      <c r="S535" s="37" t="e">
        <f ca="1">IF(P535="","",IF(P535="Total",SUM($S$19:S534),VLOOKUP($P535,$B$12:$L589,11,FALSE)))</f>
        <v>#N/A</v>
      </c>
      <c r="T535" s="44" t="e">
        <f ca="1">IF(payfreq="Annually",IF(P535="","",IF(P535="Total",SUM($T$19:T534),Adj_Rate*$R535)),IF(payfreq="Semiannually",IF(P535="","",IF(P535="Total",SUM($T$19:T534),Adj_Rate/2*$R535)),IF(payfreq="Quarterly",IF(P535="","",IF(P535="Total",SUM($T$19:T534),Adj_Rate/4*$R535)),IF(payfreq="Monthly",IF(P535="","",IF(P535="Total",SUM($T$19:T534),Adj_Rate/12*$R535)),""))))</f>
        <v>#N/A</v>
      </c>
      <c r="U535" s="37" t="e">
        <f t="shared" ca="1" si="115"/>
        <v>#N/A</v>
      </c>
      <c r="V535" s="44" t="e">
        <f t="shared" ca="1" si="116"/>
        <v>#N/A</v>
      </c>
    </row>
    <row r="536" spans="2:22">
      <c r="B536" s="38" t="e">
        <f t="shared" ca="1" si="117"/>
        <v>#N/A</v>
      </c>
      <c r="C536" s="77" t="e">
        <f t="shared" ca="1" si="118"/>
        <v>#N/A</v>
      </c>
      <c r="D536" s="78" t="e">
        <f ca="1">+IF(AND(B536&lt;$G$7),VLOOKUP($B$1,Inventory!$A$1:$BC$500,35,FALSE),IF(AND(B536=$G$7,pmt_timing="End"),VLOOKUP($B$1,Inventory!$A$1:$BC$500,35,FALSE),0))</f>
        <v>#N/A</v>
      </c>
      <c r="E536" s="78">
        <v>0</v>
      </c>
      <c r="F536" s="78">
        <v>0</v>
      </c>
      <c r="G536" s="78">
        <v>0</v>
      </c>
      <c r="H536" s="78">
        <v>0</v>
      </c>
      <c r="I536" s="78">
        <v>0</v>
      </c>
      <c r="J536" s="78">
        <v>0</v>
      </c>
      <c r="K536" s="78">
        <v>0</v>
      </c>
      <c r="L536" s="36" t="e">
        <f t="shared" ca="1" si="112"/>
        <v>#N/A</v>
      </c>
      <c r="M536" s="37" t="e">
        <f t="shared" ca="1" si="110"/>
        <v>#N/A</v>
      </c>
      <c r="N536" s="37" t="e">
        <f t="shared" ca="1" si="111"/>
        <v>#N/A</v>
      </c>
      <c r="P536" s="35" t="e">
        <f t="shared" ca="1" si="119"/>
        <v>#N/A</v>
      </c>
      <c r="Q536" s="59" t="e">
        <f t="shared" ca="1" si="113"/>
        <v>#N/A</v>
      </c>
      <c r="R536" s="44" t="e">
        <f t="shared" ca="1" si="114"/>
        <v>#N/A</v>
      </c>
      <c r="S536" s="37" t="e">
        <f ca="1">IF(P536="","",IF(P536="Total",SUM($S$19:S535),VLOOKUP($P536,$B$12:$L590,11,FALSE)))</f>
        <v>#N/A</v>
      </c>
      <c r="T536" s="44" t="e">
        <f ca="1">IF(payfreq="Annually",IF(P536="","",IF(P536="Total",SUM($T$19:T535),Adj_Rate*$R536)),IF(payfreq="Semiannually",IF(P536="","",IF(P536="Total",SUM($T$19:T535),Adj_Rate/2*$R536)),IF(payfreq="Quarterly",IF(P536="","",IF(P536="Total",SUM($T$19:T535),Adj_Rate/4*$R536)),IF(payfreq="Monthly",IF(P536="","",IF(P536="Total",SUM($T$19:T535),Adj_Rate/12*$R536)),""))))</f>
        <v>#N/A</v>
      </c>
      <c r="U536" s="37" t="e">
        <f t="shared" ca="1" si="115"/>
        <v>#N/A</v>
      </c>
      <c r="V536" s="44" t="e">
        <f t="shared" ca="1" si="116"/>
        <v>#N/A</v>
      </c>
    </row>
    <row r="537" spans="2:22">
      <c r="B537" s="38" t="e">
        <f t="shared" ca="1" si="117"/>
        <v>#N/A</v>
      </c>
      <c r="C537" s="77" t="e">
        <f t="shared" ca="1" si="118"/>
        <v>#N/A</v>
      </c>
      <c r="D537" s="78" t="e">
        <f ca="1">+IF(AND(B537&lt;$G$7),VLOOKUP($B$1,Inventory!$A$1:$BC$500,35,FALSE),IF(AND(B537=$G$7,pmt_timing="End"),VLOOKUP($B$1,Inventory!$A$1:$BC$500,35,FALSE),0))</f>
        <v>#N/A</v>
      </c>
      <c r="E537" s="78">
        <v>0</v>
      </c>
      <c r="F537" s="78">
        <v>0</v>
      </c>
      <c r="G537" s="78">
        <v>0</v>
      </c>
      <c r="H537" s="78">
        <v>0</v>
      </c>
      <c r="I537" s="78">
        <v>0</v>
      </c>
      <c r="J537" s="78">
        <v>0</v>
      </c>
      <c r="K537" s="78">
        <v>0</v>
      </c>
      <c r="L537" s="36" t="e">
        <f t="shared" ca="1" si="112"/>
        <v>#N/A</v>
      </c>
      <c r="M537" s="37" t="e">
        <f t="shared" ca="1" si="110"/>
        <v>#N/A</v>
      </c>
      <c r="N537" s="37" t="e">
        <f t="shared" ca="1" si="111"/>
        <v>#N/A</v>
      </c>
      <c r="P537" s="35" t="e">
        <f t="shared" ca="1" si="119"/>
        <v>#N/A</v>
      </c>
      <c r="Q537" s="59" t="e">
        <f t="shared" ca="1" si="113"/>
        <v>#N/A</v>
      </c>
      <c r="R537" s="44" t="e">
        <f t="shared" ca="1" si="114"/>
        <v>#N/A</v>
      </c>
      <c r="S537" s="37" t="e">
        <f ca="1">IF(P537="","",IF(P537="Total",SUM($S$19:S536),VLOOKUP($P537,$B$12:$L591,11,FALSE)))</f>
        <v>#N/A</v>
      </c>
      <c r="T537" s="44" t="e">
        <f ca="1">IF(payfreq="Annually",IF(P537="","",IF(P537="Total",SUM($T$19:T536),Adj_Rate*$R537)),IF(payfreq="Semiannually",IF(P537="","",IF(P537="Total",SUM($T$19:T536),Adj_Rate/2*$R537)),IF(payfreq="Quarterly",IF(P537="","",IF(P537="Total",SUM($T$19:T536),Adj_Rate/4*$R537)),IF(payfreq="Monthly",IF(P537="","",IF(P537="Total",SUM($T$19:T536),Adj_Rate/12*$R537)),""))))</f>
        <v>#N/A</v>
      </c>
      <c r="U537" s="37" t="e">
        <f t="shared" ca="1" si="115"/>
        <v>#N/A</v>
      </c>
      <c r="V537" s="44" t="e">
        <f t="shared" ca="1" si="116"/>
        <v>#N/A</v>
      </c>
    </row>
    <row r="538" spans="2:22">
      <c r="B538" s="38" t="e">
        <f t="shared" ca="1" si="117"/>
        <v>#N/A</v>
      </c>
      <c r="C538" s="77" t="e">
        <f t="shared" ca="1" si="118"/>
        <v>#N/A</v>
      </c>
      <c r="D538" s="78" t="e">
        <f ca="1">+IF(AND(B538&lt;$G$7),VLOOKUP($B$1,Inventory!$A$1:$BC$500,35,FALSE),IF(AND(B538=$G$7,pmt_timing="End"),VLOOKUP($B$1,Inventory!$A$1:$BC$500,35,FALSE),0))</f>
        <v>#N/A</v>
      </c>
      <c r="E538" s="78">
        <v>0</v>
      </c>
      <c r="F538" s="78">
        <v>0</v>
      </c>
      <c r="G538" s="78">
        <v>0</v>
      </c>
      <c r="H538" s="78">
        <v>0</v>
      </c>
      <c r="I538" s="78">
        <v>0</v>
      </c>
      <c r="J538" s="78">
        <v>0</v>
      </c>
      <c r="K538" s="78">
        <v>0</v>
      </c>
      <c r="L538" s="36" t="e">
        <f t="shared" ca="1" si="112"/>
        <v>#N/A</v>
      </c>
      <c r="M538" s="37" t="e">
        <f t="shared" ca="1" si="110"/>
        <v>#N/A</v>
      </c>
      <c r="N538" s="37" t="e">
        <f t="shared" ca="1" si="111"/>
        <v>#N/A</v>
      </c>
      <c r="P538" s="35" t="e">
        <f t="shared" ca="1" si="119"/>
        <v>#N/A</v>
      </c>
      <c r="Q538" s="59" t="e">
        <f t="shared" ca="1" si="113"/>
        <v>#N/A</v>
      </c>
      <c r="R538" s="44" t="e">
        <f t="shared" ca="1" si="114"/>
        <v>#N/A</v>
      </c>
      <c r="S538" s="37" t="e">
        <f ca="1">IF(P538="","",IF(P538="Total",SUM($S$19:S537),VLOOKUP($P538,$B$12:$L592,11,FALSE)))</f>
        <v>#N/A</v>
      </c>
      <c r="T538" s="44" t="e">
        <f ca="1">IF(payfreq="Annually",IF(P538="","",IF(P538="Total",SUM($T$19:T537),Adj_Rate*$R538)),IF(payfreq="Semiannually",IF(P538="","",IF(P538="Total",SUM($T$19:T537),Adj_Rate/2*$R538)),IF(payfreq="Quarterly",IF(P538="","",IF(P538="Total",SUM($T$19:T537),Adj_Rate/4*$R538)),IF(payfreq="Monthly",IF(P538="","",IF(P538="Total",SUM($T$19:T537),Adj_Rate/12*$R538)),""))))</f>
        <v>#N/A</v>
      </c>
      <c r="U538" s="37" t="e">
        <f t="shared" ca="1" si="115"/>
        <v>#N/A</v>
      </c>
      <c r="V538" s="44" t="e">
        <f t="shared" ca="1" si="116"/>
        <v>#N/A</v>
      </c>
    </row>
    <row r="539" spans="2:22">
      <c r="B539" s="38" t="e">
        <f t="shared" ca="1" si="117"/>
        <v>#N/A</v>
      </c>
      <c r="C539" s="77" t="e">
        <f t="shared" ca="1" si="118"/>
        <v>#N/A</v>
      </c>
      <c r="D539" s="78" t="e">
        <f ca="1">+IF(AND(B539&lt;$G$7),VLOOKUP($B$1,Inventory!$A$1:$BC$500,35,FALSE),IF(AND(B539=$G$7,pmt_timing="End"),VLOOKUP($B$1,Inventory!$A$1:$BC$500,35,FALSE),0))</f>
        <v>#N/A</v>
      </c>
      <c r="E539" s="78">
        <v>0</v>
      </c>
      <c r="F539" s="78">
        <v>0</v>
      </c>
      <c r="G539" s="78">
        <v>0</v>
      </c>
      <c r="H539" s="78">
        <v>0</v>
      </c>
      <c r="I539" s="78">
        <v>0</v>
      </c>
      <c r="J539" s="78">
        <v>0</v>
      </c>
      <c r="K539" s="78">
        <v>0</v>
      </c>
      <c r="L539" s="36" t="e">
        <f t="shared" ca="1" si="112"/>
        <v>#N/A</v>
      </c>
      <c r="M539" s="37" t="e">
        <f t="shared" ca="1" si="110"/>
        <v>#N/A</v>
      </c>
      <c r="N539" s="37" t="e">
        <f t="shared" ca="1" si="111"/>
        <v>#N/A</v>
      </c>
      <c r="P539" s="35" t="e">
        <f t="shared" ca="1" si="119"/>
        <v>#N/A</v>
      </c>
      <c r="Q539" s="59" t="e">
        <f t="shared" ca="1" si="113"/>
        <v>#N/A</v>
      </c>
      <c r="R539" s="44" t="e">
        <f t="shared" ca="1" si="114"/>
        <v>#N/A</v>
      </c>
      <c r="S539" s="37" t="e">
        <f ca="1">IF(P539="","",IF(P539="Total",SUM($S$19:S538),VLOOKUP($P539,$B$12:$L593,11,FALSE)))</f>
        <v>#N/A</v>
      </c>
      <c r="T539" s="44" t="e">
        <f ca="1">IF(payfreq="Annually",IF(P539="","",IF(P539="Total",SUM($T$19:T538),Adj_Rate*$R539)),IF(payfreq="Semiannually",IF(P539="","",IF(P539="Total",SUM($T$19:T538),Adj_Rate/2*$R539)),IF(payfreq="Quarterly",IF(P539="","",IF(P539="Total",SUM($T$19:T538),Adj_Rate/4*$R539)),IF(payfreq="Monthly",IF(P539="","",IF(P539="Total",SUM($T$19:T538),Adj_Rate/12*$R539)),""))))</f>
        <v>#N/A</v>
      </c>
      <c r="U539" s="37" t="e">
        <f t="shared" ca="1" si="115"/>
        <v>#N/A</v>
      </c>
      <c r="V539" s="44" t="e">
        <f t="shared" ca="1" si="116"/>
        <v>#N/A</v>
      </c>
    </row>
    <row r="540" spans="2:22">
      <c r="B540" s="38" t="e">
        <f t="shared" ca="1" si="117"/>
        <v>#N/A</v>
      </c>
      <c r="C540" s="77" t="e">
        <f t="shared" ca="1" si="118"/>
        <v>#N/A</v>
      </c>
      <c r="D540" s="78" t="e">
        <f ca="1">+IF(AND(B540&lt;$G$7),VLOOKUP($B$1,Inventory!$A$1:$BC$500,35,FALSE),IF(AND(B540=$G$7,pmt_timing="End"),VLOOKUP($B$1,Inventory!$A$1:$BC$500,35,FALSE),0))</f>
        <v>#N/A</v>
      </c>
      <c r="E540" s="78">
        <v>0</v>
      </c>
      <c r="F540" s="78">
        <v>0</v>
      </c>
      <c r="G540" s="78">
        <v>0</v>
      </c>
      <c r="H540" s="78">
        <v>0</v>
      </c>
      <c r="I540" s="78">
        <v>0</v>
      </c>
      <c r="J540" s="78">
        <v>0</v>
      </c>
      <c r="K540" s="78">
        <v>0</v>
      </c>
      <c r="L540" s="36" t="e">
        <f t="shared" ca="1" si="112"/>
        <v>#N/A</v>
      </c>
      <c r="M540" s="37" t="e">
        <f t="shared" ca="1" si="110"/>
        <v>#N/A</v>
      </c>
      <c r="N540" s="37" t="e">
        <f t="shared" ca="1" si="111"/>
        <v>#N/A</v>
      </c>
      <c r="P540" s="35" t="e">
        <f t="shared" ca="1" si="119"/>
        <v>#N/A</v>
      </c>
      <c r="Q540" s="59" t="e">
        <f t="shared" ca="1" si="113"/>
        <v>#N/A</v>
      </c>
      <c r="R540" s="44" t="e">
        <f t="shared" ca="1" si="114"/>
        <v>#N/A</v>
      </c>
      <c r="S540" s="37" t="e">
        <f ca="1">IF(P540="","",IF(P540="Total",SUM($S$19:S539),VLOOKUP($P540,$B$12:$L594,11,FALSE)))</f>
        <v>#N/A</v>
      </c>
      <c r="T540" s="44" t="e">
        <f ca="1">IF(payfreq="Annually",IF(P540="","",IF(P540="Total",SUM($T$19:T539),Adj_Rate*$R540)),IF(payfreq="Semiannually",IF(P540="","",IF(P540="Total",SUM($T$19:T539),Adj_Rate/2*$R540)),IF(payfreq="Quarterly",IF(P540="","",IF(P540="Total",SUM($T$19:T539),Adj_Rate/4*$R540)),IF(payfreq="Monthly",IF(P540="","",IF(P540="Total",SUM($T$19:T539),Adj_Rate/12*$R540)),""))))</f>
        <v>#N/A</v>
      </c>
      <c r="U540" s="37" t="e">
        <f t="shared" ca="1" si="115"/>
        <v>#N/A</v>
      </c>
      <c r="V540" s="44" t="e">
        <f t="shared" ca="1" si="116"/>
        <v>#N/A</v>
      </c>
    </row>
    <row r="541" spans="2:22">
      <c r="B541" s="38" t="e">
        <f t="shared" ca="1" si="117"/>
        <v>#N/A</v>
      </c>
      <c r="C541" s="77" t="e">
        <f t="shared" ca="1" si="118"/>
        <v>#N/A</v>
      </c>
      <c r="D541" s="78" t="e">
        <f ca="1">+IF(AND(B541&lt;$G$7),VLOOKUP($B$1,Inventory!$A$1:$BC$500,35,FALSE),IF(AND(B541=$G$7,pmt_timing="End"),VLOOKUP($B$1,Inventory!$A$1:$BC$500,35,FALSE),0))</f>
        <v>#N/A</v>
      </c>
      <c r="E541" s="78">
        <v>0</v>
      </c>
      <c r="F541" s="78">
        <v>0</v>
      </c>
      <c r="G541" s="78">
        <v>0</v>
      </c>
      <c r="H541" s="78">
        <v>0</v>
      </c>
      <c r="I541" s="78">
        <v>0</v>
      </c>
      <c r="J541" s="78">
        <v>0</v>
      </c>
      <c r="K541" s="78">
        <v>0</v>
      </c>
      <c r="L541" s="36" t="e">
        <f t="shared" ca="1" si="112"/>
        <v>#N/A</v>
      </c>
      <c r="M541" s="37" t="e">
        <f t="shared" ca="1" si="110"/>
        <v>#N/A</v>
      </c>
      <c r="N541" s="37" t="e">
        <f t="shared" ca="1" si="111"/>
        <v>#N/A</v>
      </c>
      <c r="P541" s="35" t="e">
        <f t="shared" ca="1" si="119"/>
        <v>#N/A</v>
      </c>
      <c r="Q541" s="59" t="e">
        <f t="shared" ca="1" si="113"/>
        <v>#N/A</v>
      </c>
      <c r="R541" s="44" t="e">
        <f t="shared" ca="1" si="114"/>
        <v>#N/A</v>
      </c>
      <c r="S541" s="37" t="e">
        <f ca="1">IF(P541="","",IF(P541="Total",SUM($S$19:S540),VLOOKUP($P541,$B$12:$L595,11,FALSE)))</f>
        <v>#N/A</v>
      </c>
      <c r="T541" s="44" t="e">
        <f ca="1">IF(payfreq="Annually",IF(P541="","",IF(P541="Total",SUM($T$19:T540),Adj_Rate*$R541)),IF(payfreq="Semiannually",IF(P541="","",IF(P541="Total",SUM($T$19:T540),Adj_Rate/2*$R541)),IF(payfreq="Quarterly",IF(P541="","",IF(P541="Total",SUM($T$19:T540),Adj_Rate/4*$R541)),IF(payfreq="Monthly",IF(P541="","",IF(P541="Total",SUM($T$19:T540),Adj_Rate/12*$R541)),""))))</f>
        <v>#N/A</v>
      </c>
      <c r="U541" s="37" t="e">
        <f t="shared" ca="1" si="115"/>
        <v>#N/A</v>
      </c>
      <c r="V541" s="44" t="e">
        <f t="shared" ca="1" si="116"/>
        <v>#N/A</v>
      </c>
    </row>
    <row r="542" spans="2:22">
      <c r="B542" s="38" t="e">
        <f t="shared" ca="1" si="117"/>
        <v>#N/A</v>
      </c>
      <c r="C542" s="77" t="e">
        <f t="shared" ca="1" si="118"/>
        <v>#N/A</v>
      </c>
      <c r="D542" s="78" t="e">
        <f ca="1">+IF(AND(B542&lt;$G$7),VLOOKUP($B$1,Inventory!$A$1:$BC$500,35,FALSE),IF(AND(B542=$G$7,pmt_timing="End"),VLOOKUP($B$1,Inventory!$A$1:$BC$500,35,FALSE),0))</f>
        <v>#N/A</v>
      </c>
      <c r="E542" s="78">
        <v>0</v>
      </c>
      <c r="F542" s="78">
        <v>0</v>
      </c>
      <c r="G542" s="78">
        <v>0</v>
      </c>
      <c r="H542" s="78">
        <v>0</v>
      </c>
      <c r="I542" s="78">
        <v>0</v>
      </c>
      <c r="J542" s="78">
        <v>0</v>
      </c>
      <c r="K542" s="78">
        <v>0</v>
      </c>
      <c r="L542" s="36" t="e">
        <f t="shared" ca="1" si="112"/>
        <v>#N/A</v>
      </c>
      <c r="M542" s="37" t="e">
        <f t="shared" ca="1" si="110"/>
        <v>#N/A</v>
      </c>
      <c r="N542" s="37" t="e">
        <f t="shared" ca="1" si="111"/>
        <v>#N/A</v>
      </c>
      <c r="P542" s="35" t="e">
        <f t="shared" ca="1" si="119"/>
        <v>#N/A</v>
      </c>
      <c r="Q542" s="59" t="e">
        <f t="shared" ca="1" si="113"/>
        <v>#N/A</v>
      </c>
      <c r="R542" s="44" t="e">
        <f t="shared" ca="1" si="114"/>
        <v>#N/A</v>
      </c>
      <c r="S542" s="37" t="e">
        <f ca="1">IF(P542="","",IF(P542="Total",SUM($S$19:S541),VLOOKUP($P542,$B$12:$L596,11,FALSE)))</f>
        <v>#N/A</v>
      </c>
      <c r="T542" s="44" t="e">
        <f ca="1">IF(payfreq="Annually",IF(P542="","",IF(P542="Total",SUM($T$19:T541),Adj_Rate*$R542)),IF(payfreq="Semiannually",IF(P542="","",IF(P542="Total",SUM($T$19:T541),Adj_Rate/2*$R542)),IF(payfreq="Quarterly",IF(P542="","",IF(P542="Total",SUM($T$19:T541),Adj_Rate/4*$R542)),IF(payfreq="Monthly",IF(P542="","",IF(P542="Total",SUM($T$19:T541),Adj_Rate/12*$R542)),""))))</f>
        <v>#N/A</v>
      </c>
      <c r="U542" s="37" t="e">
        <f t="shared" ca="1" si="115"/>
        <v>#N/A</v>
      </c>
      <c r="V542" s="44" t="e">
        <f t="shared" ca="1" si="116"/>
        <v>#N/A</v>
      </c>
    </row>
    <row r="543" spans="2:22">
      <c r="B543" s="38" t="e">
        <f t="shared" ca="1" si="117"/>
        <v>#N/A</v>
      </c>
      <c r="C543" s="77" t="e">
        <f t="shared" ca="1" si="118"/>
        <v>#N/A</v>
      </c>
      <c r="D543" s="78" t="e">
        <f ca="1">+IF(AND(B543&lt;$G$7),VLOOKUP($B$1,Inventory!$A$1:$BC$500,35,FALSE),IF(AND(B543=$G$7,pmt_timing="End"),VLOOKUP($B$1,Inventory!$A$1:$BC$500,35,FALSE),0))</f>
        <v>#N/A</v>
      </c>
      <c r="E543" s="78">
        <v>0</v>
      </c>
      <c r="F543" s="78">
        <v>0</v>
      </c>
      <c r="G543" s="78">
        <v>0</v>
      </c>
      <c r="H543" s="78">
        <v>0</v>
      </c>
      <c r="I543" s="78">
        <v>0</v>
      </c>
      <c r="J543" s="78">
        <v>0</v>
      </c>
      <c r="K543" s="78">
        <v>0</v>
      </c>
      <c r="L543" s="36" t="e">
        <f t="shared" ca="1" si="112"/>
        <v>#N/A</v>
      </c>
      <c r="M543" s="37" t="e">
        <f t="shared" ca="1" si="110"/>
        <v>#N/A</v>
      </c>
      <c r="N543" s="37" t="e">
        <f t="shared" ca="1" si="111"/>
        <v>#N/A</v>
      </c>
      <c r="P543" s="35" t="e">
        <f t="shared" ca="1" si="119"/>
        <v>#N/A</v>
      </c>
      <c r="Q543" s="59" t="e">
        <f t="shared" ca="1" si="113"/>
        <v>#N/A</v>
      </c>
      <c r="R543" s="44" t="e">
        <f t="shared" ca="1" si="114"/>
        <v>#N/A</v>
      </c>
      <c r="S543" s="37" t="e">
        <f ca="1">IF(P543="","",IF(P543="Total",SUM($S$19:S542),VLOOKUP($P543,$B$12:$L597,11,FALSE)))</f>
        <v>#N/A</v>
      </c>
      <c r="T543" s="44" t="e">
        <f ca="1">IF(payfreq="Annually",IF(P543="","",IF(P543="Total",SUM($T$19:T542),Adj_Rate*$R543)),IF(payfreq="Semiannually",IF(P543="","",IF(P543="Total",SUM($T$19:T542),Adj_Rate/2*$R543)),IF(payfreq="Quarterly",IF(P543="","",IF(P543="Total",SUM($T$19:T542),Adj_Rate/4*$R543)),IF(payfreq="Monthly",IF(P543="","",IF(P543="Total",SUM($T$19:T542),Adj_Rate/12*$R543)),""))))</f>
        <v>#N/A</v>
      </c>
      <c r="U543" s="37" t="e">
        <f t="shared" ca="1" si="115"/>
        <v>#N/A</v>
      </c>
      <c r="V543" s="44" t="e">
        <f t="shared" ca="1" si="116"/>
        <v>#N/A</v>
      </c>
    </row>
    <row r="544" spans="2:22">
      <c r="B544" s="38" t="e">
        <f t="shared" ca="1" si="117"/>
        <v>#N/A</v>
      </c>
      <c r="C544" s="77" t="e">
        <f t="shared" ca="1" si="118"/>
        <v>#N/A</v>
      </c>
      <c r="D544" s="78" t="e">
        <f ca="1">+IF(AND(B544&lt;$G$7),VLOOKUP($B$1,Inventory!$A$1:$BC$500,35,FALSE),IF(AND(B544=$G$7,pmt_timing="End"),VLOOKUP($B$1,Inventory!$A$1:$BC$500,35,FALSE),0))</f>
        <v>#N/A</v>
      </c>
      <c r="E544" s="78">
        <v>0</v>
      </c>
      <c r="F544" s="78">
        <v>0</v>
      </c>
      <c r="G544" s="78">
        <v>0</v>
      </c>
      <c r="H544" s="78">
        <v>0</v>
      </c>
      <c r="I544" s="78">
        <v>0</v>
      </c>
      <c r="J544" s="78">
        <v>0</v>
      </c>
      <c r="K544" s="78">
        <v>0</v>
      </c>
      <c r="L544" s="36" t="e">
        <f t="shared" ca="1" si="112"/>
        <v>#N/A</v>
      </c>
      <c r="M544" s="37" t="e">
        <f t="shared" ca="1" si="110"/>
        <v>#N/A</v>
      </c>
      <c r="N544" s="37" t="e">
        <f t="shared" ca="1" si="111"/>
        <v>#N/A</v>
      </c>
      <c r="P544" s="35" t="e">
        <f t="shared" ca="1" si="119"/>
        <v>#N/A</v>
      </c>
      <c r="Q544" s="59" t="e">
        <f t="shared" ca="1" si="113"/>
        <v>#N/A</v>
      </c>
      <c r="R544" s="44" t="e">
        <f t="shared" ca="1" si="114"/>
        <v>#N/A</v>
      </c>
      <c r="S544" s="37" t="e">
        <f ca="1">IF(P544="","",IF(P544="Total",SUM($S$19:S543),VLOOKUP($P544,$B$12:$L598,11,FALSE)))</f>
        <v>#N/A</v>
      </c>
      <c r="T544" s="44" t="e">
        <f ca="1">IF(payfreq="Annually",IF(P544="","",IF(P544="Total",SUM($T$19:T543),Adj_Rate*$R544)),IF(payfreq="Semiannually",IF(P544="","",IF(P544="Total",SUM($T$19:T543),Adj_Rate/2*$R544)),IF(payfreq="Quarterly",IF(P544="","",IF(P544="Total",SUM($T$19:T543),Adj_Rate/4*$R544)),IF(payfreq="Monthly",IF(P544="","",IF(P544="Total",SUM($T$19:T543),Adj_Rate/12*$R544)),""))))</f>
        <v>#N/A</v>
      </c>
      <c r="U544" s="37" t="e">
        <f t="shared" ca="1" si="115"/>
        <v>#N/A</v>
      </c>
      <c r="V544" s="44" t="e">
        <f t="shared" ca="1" si="116"/>
        <v>#N/A</v>
      </c>
    </row>
    <row r="545" spans="2:22">
      <c r="B545" s="38" t="e">
        <f t="shared" ca="1" si="117"/>
        <v>#N/A</v>
      </c>
      <c r="C545" s="77" t="e">
        <f t="shared" ca="1" si="118"/>
        <v>#N/A</v>
      </c>
      <c r="D545" s="78" t="e">
        <f ca="1">+IF(AND(B545&lt;$G$7),VLOOKUP($B$1,Inventory!$A$1:$BC$500,35,FALSE),IF(AND(B545=$G$7,pmt_timing="End"),VLOOKUP($B$1,Inventory!$A$1:$BC$500,35,FALSE),0))</f>
        <v>#N/A</v>
      </c>
      <c r="E545" s="78">
        <v>0</v>
      </c>
      <c r="F545" s="78">
        <v>0</v>
      </c>
      <c r="G545" s="78">
        <v>0</v>
      </c>
      <c r="H545" s="78">
        <v>0</v>
      </c>
      <c r="I545" s="78">
        <v>0</v>
      </c>
      <c r="J545" s="78">
        <v>0</v>
      </c>
      <c r="K545" s="78">
        <v>0</v>
      </c>
      <c r="L545" s="36" t="e">
        <f t="shared" ca="1" si="112"/>
        <v>#N/A</v>
      </c>
      <c r="M545" s="37" t="e">
        <f t="shared" ca="1" si="110"/>
        <v>#N/A</v>
      </c>
      <c r="N545" s="37" t="e">
        <f t="shared" ca="1" si="111"/>
        <v>#N/A</v>
      </c>
      <c r="P545" s="35" t="e">
        <f t="shared" ca="1" si="119"/>
        <v>#N/A</v>
      </c>
      <c r="Q545" s="59" t="e">
        <f t="shared" ca="1" si="113"/>
        <v>#N/A</v>
      </c>
      <c r="R545" s="44" t="e">
        <f t="shared" ca="1" si="114"/>
        <v>#N/A</v>
      </c>
      <c r="S545" s="37" t="e">
        <f ca="1">IF(P545="","",IF(P545="Total",SUM($S$19:S544),VLOOKUP($P545,$B$12:$L599,11,FALSE)))</f>
        <v>#N/A</v>
      </c>
      <c r="T545" s="44" t="e">
        <f ca="1">IF(payfreq="Annually",IF(P545="","",IF(P545="Total",SUM($T$19:T544),Adj_Rate*$R545)),IF(payfreq="Semiannually",IF(P545="","",IF(P545="Total",SUM($T$19:T544),Adj_Rate/2*$R545)),IF(payfreq="Quarterly",IF(P545="","",IF(P545="Total",SUM($T$19:T544),Adj_Rate/4*$R545)),IF(payfreq="Monthly",IF(P545="","",IF(P545="Total",SUM($T$19:T544),Adj_Rate/12*$R545)),""))))</f>
        <v>#N/A</v>
      </c>
      <c r="U545" s="37" t="e">
        <f t="shared" ca="1" si="115"/>
        <v>#N/A</v>
      </c>
      <c r="V545" s="44" t="e">
        <f t="shared" ca="1" si="116"/>
        <v>#N/A</v>
      </c>
    </row>
    <row r="546" spans="2:22">
      <c r="B546" s="38" t="e">
        <f t="shared" ca="1" si="117"/>
        <v>#N/A</v>
      </c>
      <c r="C546" s="77" t="e">
        <f t="shared" ca="1" si="118"/>
        <v>#N/A</v>
      </c>
      <c r="D546" s="78" t="e">
        <f ca="1">+IF(AND(B546&lt;$G$7),VLOOKUP($B$1,Inventory!$A$1:$BC$500,35,FALSE),IF(AND(B546=$G$7,pmt_timing="End"),VLOOKUP($B$1,Inventory!$A$1:$BC$500,35,FALSE),0))</f>
        <v>#N/A</v>
      </c>
      <c r="E546" s="78">
        <v>0</v>
      </c>
      <c r="F546" s="78">
        <v>0</v>
      </c>
      <c r="G546" s="78">
        <v>0</v>
      </c>
      <c r="H546" s="78">
        <v>0</v>
      </c>
      <c r="I546" s="78">
        <v>0</v>
      </c>
      <c r="J546" s="78">
        <v>0</v>
      </c>
      <c r="K546" s="78">
        <v>0</v>
      </c>
      <c r="L546" s="36" t="e">
        <f t="shared" ca="1" si="112"/>
        <v>#N/A</v>
      </c>
      <c r="M546" s="37" t="e">
        <f t="shared" ca="1" si="110"/>
        <v>#N/A</v>
      </c>
      <c r="N546" s="37" t="e">
        <f t="shared" ca="1" si="111"/>
        <v>#N/A</v>
      </c>
      <c r="P546" s="35" t="e">
        <f t="shared" ca="1" si="119"/>
        <v>#N/A</v>
      </c>
      <c r="Q546" s="59" t="e">
        <f t="shared" ca="1" si="113"/>
        <v>#N/A</v>
      </c>
      <c r="R546" s="44" t="e">
        <f t="shared" ca="1" si="114"/>
        <v>#N/A</v>
      </c>
      <c r="S546" s="37" t="e">
        <f ca="1">IF(P546="","",IF(P546="Total",SUM($S$19:S545),VLOOKUP($P546,$B$12:$L600,11,FALSE)))</f>
        <v>#N/A</v>
      </c>
      <c r="T546" s="44" t="e">
        <f ca="1">IF(payfreq="Annually",IF(P546="","",IF(P546="Total",SUM($T$19:T545),Adj_Rate*$R546)),IF(payfreq="Semiannually",IF(P546="","",IF(P546="Total",SUM($T$19:T545),Adj_Rate/2*$R546)),IF(payfreq="Quarterly",IF(P546="","",IF(P546="Total",SUM($T$19:T545),Adj_Rate/4*$R546)),IF(payfreq="Monthly",IF(P546="","",IF(P546="Total",SUM($T$19:T545),Adj_Rate/12*$R546)),""))))</f>
        <v>#N/A</v>
      </c>
      <c r="U546" s="37" t="e">
        <f t="shared" ca="1" si="115"/>
        <v>#N/A</v>
      </c>
      <c r="V546" s="44" t="e">
        <f t="shared" ca="1" si="116"/>
        <v>#N/A</v>
      </c>
    </row>
    <row r="547" spans="2:22">
      <c r="B547" s="38" t="e">
        <f t="shared" ca="1" si="117"/>
        <v>#N/A</v>
      </c>
      <c r="C547" s="77" t="e">
        <f t="shared" ca="1" si="118"/>
        <v>#N/A</v>
      </c>
      <c r="D547" s="78" t="e">
        <f ca="1">+IF(AND(B547&lt;$G$7),VLOOKUP($B$1,Inventory!$A$1:$BC$500,35,FALSE),IF(AND(B547=$G$7,pmt_timing="End"),VLOOKUP($B$1,Inventory!$A$1:$BC$500,35,FALSE),0))</f>
        <v>#N/A</v>
      </c>
      <c r="E547" s="78">
        <v>0</v>
      </c>
      <c r="F547" s="78">
        <v>0</v>
      </c>
      <c r="G547" s="78">
        <v>0</v>
      </c>
      <c r="H547" s="78">
        <v>0</v>
      </c>
      <c r="I547" s="78">
        <v>0</v>
      </c>
      <c r="J547" s="78">
        <v>0</v>
      </c>
      <c r="K547" s="78">
        <v>0</v>
      </c>
      <c r="L547" s="36" t="e">
        <f t="shared" ca="1" si="112"/>
        <v>#N/A</v>
      </c>
      <c r="M547" s="37" t="e">
        <f t="shared" ca="1" si="110"/>
        <v>#N/A</v>
      </c>
      <c r="N547" s="37" t="e">
        <f t="shared" ca="1" si="111"/>
        <v>#N/A</v>
      </c>
      <c r="P547" s="35" t="e">
        <f t="shared" ca="1" si="119"/>
        <v>#N/A</v>
      </c>
      <c r="Q547" s="59" t="e">
        <f t="shared" ca="1" si="113"/>
        <v>#N/A</v>
      </c>
      <c r="R547" s="44" t="e">
        <f t="shared" ca="1" si="114"/>
        <v>#N/A</v>
      </c>
      <c r="S547" s="37" t="e">
        <f ca="1">IF(P547="","",IF(P547="Total",SUM($S$19:S546),VLOOKUP($P547,$B$12:$L601,11,FALSE)))</f>
        <v>#N/A</v>
      </c>
      <c r="T547" s="44" t="e">
        <f ca="1">IF(payfreq="Annually",IF(P547="","",IF(P547="Total",SUM($T$19:T546),Adj_Rate*$R547)),IF(payfreq="Semiannually",IF(P547="","",IF(P547="Total",SUM($T$19:T546),Adj_Rate/2*$R547)),IF(payfreq="Quarterly",IF(P547="","",IF(P547="Total",SUM($T$19:T546),Adj_Rate/4*$R547)),IF(payfreq="Monthly",IF(P547="","",IF(P547="Total",SUM($T$19:T546),Adj_Rate/12*$R547)),""))))</f>
        <v>#N/A</v>
      </c>
      <c r="U547" s="37" t="e">
        <f t="shared" ca="1" si="115"/>
        <v>#N/A</v>
      </c>
      <c r="V547" s="44" t="e">
        <f t="shared" ca="1" si="116"/>
        <v>#N/A</v>
      </c>
    </row>
    <row r="548" spans="2:22">
      <c r="B548" s="38" t="e">
        <f t="shared" ca="1" si="117"/>
        <v>#N/A</v>
      </c>
      <c r="C548" s="77" t="e">
        <f t="shared" ca="1" si="118"/>
        <v>#N/A</v>
      </c>
      <c r="D548" s="78" t="e">
        <f ca="1">+IF(AND(B548&lt;$G$7),VLOOKUP($B$1,Inventory!$A$1:$BC$500,35,FALSE),IF(AND(B548=$G$7,pmt_timing="End"),VLOOKUP($B$1,Inventory!$A$1:$BC$500,35,FALSE),0))</f>
        <v>#N/A</v>
      </c>
      <c r="E548" s="78">
        <v>0</v>
      </c>
      <c r="F548" s="78">
        <v>0</v>
      </c>
      <c r="G548" s="78">
        <v>0</v>
      </c>
      <c r="H548" s="78">
        <v>0</v>
      </c>
      <c r="I548" s="78">
        <v>0</v>
      </c>
      <c r="J548" s="78">
        <v>0</v>
      </c>
      <c r="K548" s="78">
        <v>0</v>
      </c>
      <c r="L548" s="36" t="e">
        <f t="shared" ca="1" si="112"/>
        <v>#N/A</v>
      </c>
      <c r="M548" s="37" t="e">
        <f t="shared" ca="1" si="110"/>
        <v>#N/A</v>
      </c>
      <c r="N548" s="37" t="e">
        <f t="shared" ca="1" si="111"/>
        <v>#N/A</v>
      </c>
      <c r="P548" s="35" t="e">
        <f t="shared" ca="1" si="119"/>
        <v>#N/A</v>
      </c>
      <c r="Q548" s="59" t="e">
        <f t="shared" ca="1" si="113"/>
        <v>#N/A</v>
      </c>
      <c r="R548" s="44" t="e">
        <f t="shared" ca="1" si="114"/>
        <v>#N/A</v>
      </c>
      <c r="S548" s="37" t="e">
        <f ca="1">IF(P548="","",IF(P548="Total",SUM($S$19:S547),VLOOKUP($P548,$B$12:$L602,11,FALSE)))</f>
        <v>#N/A</v>
      </c>
      <c r="T548" s="44" t="e">
        <f ca="1">IF(payfreq="Annually",IF(P548="","",IF(P548="Total",SUM($T$19:T547),Adj_Rate*$R548)),IF(payfreq="Semiannually",IF(P548="","",IF(P548="Total",SUM($T$19:T547),Adj_Rate/2*$R548)),IF(payfreq="Quarterly",IF(P548="","",IF(P548="Total",SUM($T$19:T547),Adj_Rate/4*$R548)),IF(payfreq="Monthly",IF(P548="","",IF(P548="Total",SUM($T$19:T547),Adj_Rate/12*$R548)),""))))</f>
        <v>#N/A</v>
      </c>
      <c r="U548" s="37" t="e">
        <f t="shared" ca="1" si="115"/>
        <v>#N/A</v>
      </c>
      <c r="V548" s="44" t="e">
        <f t="shared" ca="1" si="116"/>
        <v>#N/A</v>
      </c>
    </row>
    <row r="549" spans="2:22">
      <c r="B549" s="38" t="e">
        <f t="shared" ca="1" si="117"/>
        <v>#N/A</v>
      </c>
      <c r="C549" s="77" t="e">
        <f t="shared" ca="1" si="118"/>
        <v>#N/A</v>
      </c>
      <c r="D549" s="78" t="e">
        <f ca="1">+IF(AND(B549&lt;$G$7),VLOOKUP($B$1,Inventory!$A$1:$BC$500,35,FALSE),IF(AND(B549=$G$7,pmt_timing="End"),VLOOKUP($B$1,Inventory!$A$1:$BC$500,35,FALSE),0))</f>
        <v>#N/A</v>
      </c>
      <c r="E549" s="78">
        <v>0</v>
      </c>
      <c r="F549" s="78">
        <v>0</v>
      </c>
      <c r="G549" s="78">
        <v>0</v>
      </c>
      <c r="H549" s="78">
        <v>0</v>
      </c>
      <c r="I549" s="78">
        <v>0</v>
      </c>
      <c r="J549" s="78">
        <v>0</v>
      </c>
      <c r="K549" s="78">
        <v>0</v>
      </c>
      <c r="L549" s="36" t="e">
        <f t="shared" ca="1" si="112"/>
        <v>#N/A</v>
      </c>
      <c r="M549" s="37" t="e">
        <f t="shared" ca="1" si="110"/>
        <v>#N/A</v>
      </c>
      <c r="N549" s="37" t="e">
        <f t="shared" ca="1" si="111"/>
        <v>#N/A</v>
      </c>
      <c r="P549" s="35" t="e">
        <f t="shared" ca="1" si="119"/>
        <v>#N/A</v>
      </c>
      <c r="Q549" s="59" t="e">
        <f t="shared" ca="1" si="113"/>
        <v>#N/A</v>
      </c>
      <c r="R549" s="44" t="e">
        <f t="shared" ca="1" si="114"/>
        <v>#N/A</v>
      </c>
      <c r="S549" s="37" t="e">
        <f ca="1">IF(P549="","",IF(P549="Total",SUM($S$19:S548),VLOOKUP($P549,$B$12:$L603,11,FALSE)))</f>
        <v>#N/A</v>
      </c>
      <c r="T549" s="44" t="e">
        <f ca="1">IF(payfreq="Annually",IF(P549="","",IF(P549="Total",SUM($T$19:T548),Adj_Rate*$R549)),IF(payfreq="Semiannually",IF(P549="","",IF(P549="Total",SUM($T$19:T548),Adj_Rate/2*$R549)),IF(payfreq="Quarterly",IF(P549="","",IF(P549="Total",SUM($T$19:T548),Adj_Rate/4*$R549)),IF(payfreq="Monthly",IF(P549="","",IF(P549="Total",SUM($T$19:T548),Adj_Rate/12*$R549)),""))))</f>
        <v>#N/A</v>
      </c>
      <c r="U549" s="37" t="e">
        <f t="shared" ca="1" si="115"/>
        <v>#N/A</v>
      </c>
      <c r="V549" s="44" t="e">
        <f t="shared" ca="1" si="116"/>
        <v>#N/A</v>
      </c>
    </row>
    <row r="550" spans="2:22">
      <c r="B550" s="38" t="e">
        <f t="shared" ca="1" si="117"/>
        <v>#N/A</v>
      </c>
      <c r="C550" s="77" t="e">
        <f t="shared" ca="1" si="118"/>
        <v>#N/A</v>
      </c>
      <c r="D550" s="78" t="e">
        <f ca="1">+IF(AND(B550&lt;$G$7),VLOOKUP($B$1,Inventory!$A$1:$BC$500,35,FALSE),IF(AND(B550=$G$7,pmt_timing="End"),VLOOKUP($B$1,Inventory!$A$1:$BC$500,35,FALSE),0))</f>
        <v>#N/A</v>
      </c>
      <c r="E550" s="78">
        <v>0</v>
      </c>
      <c r="F550" s="78">
        <v>0</v>
      </c>
      <c r="G550" s="78">
        <v>0</v>
      </c>
      <c r="H550" s="78">
        <v>0</v>
      </c>
      <c r="I550" s="78">
        <v>0</v>
      </c>
      <c r="J550" s="78">
        <v>0</v>
      </c>
      <c r="K550" s="78">
        <v>0</v>
      </c>
      <c r="L550" s="36" t="e">
        <f t="shared" ca="1" si="112"/>
        <v>#N/A</v>
      </c>
      <c r="M550" s="37" t="e">
        <f t="shared" ca="1" si="110"/>
        <v>#N/A</v>
      </c>
      <c r="N550" s="37" t="e">
        <f t="shared" ca="1" si="111"/>
        <v>#N/A</v>
      </c>
      <c r="P550" s="35" t="e">
        <f t="shared" ca="1" si="119"/>
        <v>#N/A</v>
      </c>
      <c r="Q550" s="59" t="e">
        <f t="shared" ca="1" si="113"/>
        <v>#N/A</v>
      </c>
      <c r="R550" s="44" t="e">
        <f t="shared" ca="1" si="114"/>
        <v>#N/A</v>
      </c>
      <c r="S550" s="37" t="e">
        <f ca="1">IF(P550="","",IF(P550="Total",SUM($S$19:S549),VLOOKUP($P550,$B$12:$L614,11,FALSE)))</f>
        <v>#N/A</v>
      </c>
      <c r="T550" s="44" t="e">
        <f ca="1">IF(payfreq="Annually",IF(P550="","",IF(P550="Total",SUM($T$19:T549),Adj_Rate*$R550)),IF(payfreq="Semiannually",IF(P550="","",IF(P550="Total",SUM($T$19:T549),Adj_Rate/2*$R550)),IF(payfreq="Quarterly",IF(P550="","",IF(P550="Total",SUM($T$19:T549),Adj_Rate/4*$R550)),IF(payfreq="Monthly",IF(P550="","",IF(P550="Total",SUM($T$19:T549),Adj_Rate/12*$R550)),""))))</f>
        <v>#N/A</v>
      </c>
      <c r="U550" s="37" t="e">
        <f t="shared" ca="1" si="115"/>
        <v>#N/A</v>
      </c>
      <c r="V550" s="44" t="e">
        <f t="shared" ca="1" si="116"/>
        <v>#N/A</v>
      </c>
    </row>
    <row r="551" spans="2:22">
      <c r="B551" s="38" t="e">
        <f t="shared" ca="1" si="117"/>
        <v>#N/A</v>
      </c>
      <c r="C551" s="77" t="e">
        <f t="shared" ca="1" si="118"/>
        <v>#N/A</v>
      </c>
      <c r="D551" s="78" t="e">
        <f ca="1">+IF(AND(B551&lt;$G$7),VLOOKUP($B$1,Inventory!$A$1:$BC$500,35,FALSE),IF(AND(B551=$G$7,pmt_timing="End"),VLOOKUP($B$1,Inventory!$A$1:$BC$500,35,FALSE),0))</f>
        <v>#N/A</v>
      </c>
      <c r="E551" s="78">
        <v>0</v>
      </c>
      <c r="F551" s="78">
        <v>0</v>
      </c>
      <c r="G551" s="78">
        <v>0</v>
      </c>
      <c r="H551" s="78">
        <v>0</v>
      </c>
      <c r="I551" s="78">
        <v>0</v>
      </c>
      <c r="J551" s="78">
        <v>0</v>
      </c>
      <c r="K551" s="78">
        <v>0</v>
      </c>
      <c r="L551" s="36" t="e">
        <f t="shared" ca="1" si="112"/>
        <v>#N/A</v>
      </c>
      <c r="M551" s="37" t="e">
        <f t="shared" ca="1" si="110"/>
        <v>#N/A</v>
      </c>
      <c r="N551" s="37" t="e">
        <f t="shared" ca="1" si="111"/>
        <v>#N/A</v>
      </c>
      <c r="P551" s="35" t="e">
        <f t="shared" ca="1" si="119"/>
        <v>#N/A</v>
      </c>
      <c r="Q551" s="59" t="e">
        <f t="shared" ca="1" si="113"/>
        <v>#N/A</v>
      </c>
      <c r="R551" s="44" t="e">
        <f t="shared" ca="1" si="114"/>
        <v>#N/A</v>
      </c>
      <c r="S551" s="37" t="e">
        <f ca="1">IF(P551="","",IF(P551="Total",SUM($S$19:S550),VLOOKUP($P551,$B$12:$L615,11,FALSE)))</f>
        <v>#N/A</v>
      </c>
      <c r="T551" s="44" t="e">
        <f ca="1">IF(payfreq="Annually",IF(P551="","",IF(P551="Total",SUM($T$19:T550),Adj_Rate*$R551)),IF(payfreq="Semiannually",IF(P551="","",IF(P551="Total",SUM($T$19:T550),Adj_Rate/2*$R551)),IF(payfreq="Quarterly",IF(P551="","",IF(P551="Total",SUM($T$19:T550),Adj_Rate/4*$R551)),IF(payfreq="Monthly",IF(P551="","",IF(P551="Total",SUM($T$19:T550),Adj_Rate/12*$R551)),""))))</f>
        <v>#N/A</v>
      </c>
      <c r="U551" s="37" t="e">
        <f t="shared" ca="1" si="115"/>
        <v>#N/A</v>
      </c>
      <c r="V551" s="44" t="e">
        <f t="shared" ca="1" si="116"/>
        <v>#N/A</v>
      </c>
    </row>
    <row r="552" spans="2:22">
      <c r="B552" s="38" t="e">
        <f t="shared" ca="1" si="117"/>
        <v>#N/A</v>
      </c>
      <c r="C552" s="77" t="e">
        <f t="shared" ca="1" si="118"/>
        <v>#N/A</v>
      </c>
      <c r="D552" s="78" t="e">
        <f ca="1">+IF(AND(B552&lt;$G$7),VLOOKUP($B$1,Inventory!$A$1:$BC$500,35,FALSE),IF(AND(B552=$G$7,pmt_timing="End"),VLOOKUP($B$1,Inventory!$A$1:$BC$500,35,FALSE),0))</f>
        <v>#N/A</v>
      </c>
      <c r="E552" s="78">
        <v>0</v>
      </c>
      <c r="F552" s="78">
        <v>0</v>
      </c>
      <c r="G552" s="78">
        <v>0</v>
      </c>
      <c r="H552" s="78">
        <v>0</v>
      </c>
      <c r="I552" s="78">
        <v>0</v>
      </c>
      <c r="J552" s="78">
        <v>0</v>
      </c>
      <c r="K552" s="78">
        <v>0</v>
      </c>
      <c r="L552" s="36" t="e">
        <f t="shared" ca="1" si="112"/>
        <v>#N/A</v>
      </c>
      <c r="M552" s="37" t="e">
        <f t="shared" ca="1" si="110"/>
        <v>#N/A</v>
      </c>
      <c r="N552" s="37" t="e">
        <f t="shared" ca="1" si="111"/>
        <v>#N/A</v>
      </c>
      <c r="P552" s="35" t="e">
        <f t="shared" ca="1" si="119"/>
        <v>#N/A</v>
      </c>
      <c r="Q552" s="59" t="e">
        <f t="shared" ca="1" si="113"/>
        <v>#N/A</v>
      </c>
      <c r="R552" s="44" t="e">
        <f t="shared" ca="1" si="114"/>
        <v>#N/A</v>
      </c>
      <c r="S552" s="37" t="e">
        <f ca="1">IF(P552="","",IF(P552="Total",SUM($S$19:S551),VLOOKUP($P552,$B$12:$L616,11,FALSE)))</f>
        <v>#N/A</v>
      </c>
      <c r="T552" s="44" t="e">
        <f ca="1">IF(payfreq="Annually",IF(P552="","",IF(P552="Total",SUM($T$19:T551),Adj_Rate*$R552)),IF(payfreq="Semiannually",IF(P552="","",IF(P552="Total",SUM($T$19:T551),Adj_Rate/2*$R552)),IF(payfreq="Quarterly",IF(P552="","",IF(P552="Total",SUM($T$19:T551),Adj_Rate/4*$R552)),IF(payfreq="Monthly",IF(P552="","",IF(P552="Total",SUM($T$19:T551),Adj_Rate/12*$R552)),""))))</f>
        <v>#N/A</v>
      </c>
      <c r="U552" s="37" t="e">
        <f t="shared" ca="1" si="115"/>
        <v>#N/A</v>
      </c>
      <c r="V552" s="44" t="e">
        <f t="shared" ca="1" si="116"/>
        <v>#N/A</v>
      </c>
    </row>
    <row r="553" spans="2:22">
      <c r="B553" s="38" t="e">
        <f t="shared" ca="1" si="117"/>
        <v>#N/A</v>
      </c>
      <c r="C553" s="77" t="e">
        <f t="shared" ca="1" si="118"/>
        <v>#N/A</v>
      </c>
      <c r="D553" s="78" t="e">
        <f ca="1">+IF(AND(B553&lt;$G$7),VLOOKUP($B$1,Inventory!$A$1:$BC$500,35,FALSE),IF(AND(B553=$G$7,pmt_timing="End"),VLOOKUP($B$1,Inventory!$A$1:$BC$500,35,FALSE),0))</f>
        <v>#N/A</v>
      </c>
      <c r="E553" s="78">
        <v>0</v>
      </c>
      <c r="F553" s="78">
        <v>0</v>
      </c>
      <c r="G553" s="78">
        <v>0</v>
      </c>
      <c r="H553" s="78">
        <v>0</v>
      </c>
      <c r="I553" s="78">
        <v>0</v>
      </c>
      <c r="J553" s="78">
        <v>0</v>
      </c>
      <c r="K553" s="78">
        <v>0</v>
      </c>
      <c r="L553" s="36" t="e">
        <f t="shared" ca="1" si="112"/>
        <v>#N/A</v>
      </c>
      <c r="M553" s="37" t="e">
        <f t="shared" ca="1" si="110"/>
        <v>#N/A</v>
      </c>
      <c r="N553" s="37" t="e">
        <f t="shared" ca="1" si="111"/>
        <v>#N/A</v>
      </c>
      <c r="P553" s="35" t="e">
        <f t="shared" ca="1" si="119"/>
        <v>#N/A</v>
      </c>
      <c r="Q553" s="59" t="e">
        <f t="shared" ca="1" si="113"/>
        <v>#N/A</v>
      </c>
      <c r="R553" s="44" t="e">
        <f t="shared" ca="1" si="114"/>
        <v>#N/A</v>
      </c>
      <c r="S553" s="37" t="e">
        <f ca="1">IF(P553="","",IF(P553="Total",SUM($S$19:S552),VLOOKUP($P553,$B$12:$L617,11,FALSE)))</f>
        <v>#N/A</v>
      </c>
      <c r="T553" s="44" t="e">
        <f ca="1">IF(payfreq="Annually",IF(P553="","",IF(P553="Total",SUM($T$19:T552),Adj_Rate*$R553)),IF(payfreq="Semiannually",IF(P553="","",IF(P553="Total",SUM($T$19:T552),Adj_Rate/2*$R553)),IF(payfreq="Quarterly",IF(P553="","",IF(P553="Total",SUM($T$19:T552),Adj_Rate/4*$R553)),IF(payfreq="Monthly",IF(P553="","",IF(P553="Total",SUM($T$19:T552),Adj_Rate/12*$R553)),""))))</f>
        <v>#N/A</v>
      </c>
      <c r="U553" s="37" t="e">
        <f t="shared" ca="1" si="115"/>
        <v>#N/A</v>
      </c>
      <c r="V553" s="44" t="e">
        <f t="shared" ca="1" si="116"/>
        <v>#N/A</v>
      </c>
    </row>
    <row r="554" spans="2:22">
      <c r="B554" s="38" t="e">
        <f t="shared" ca="1" si="117"/>
        <v>#N/A</v>
      </c>
      <c r="C554" s="77" t="e">
        <f t="shared" ca="1" si="118"/>
        <v>#N/A</v>
      </c>
      <c r="D554" s="78" t="e">
        <f ca="1">+IF(AND(B554&lt;$G$7),VLOOKUP($B$1,Inventory!$A$1:$BC$500,35,FALSE),IF(AND(B554=$G$7,pmt_timing="End"),VLOOKUP($B$1,Inventory!$A$1:$BC$500,35,FALSE),0))</f>
        <v>#N/A</v>
      </c>
      <c r="E554" s="78">
        <v>0</v>
      </c>
      <c r="F554" s="78">
        <v>0</v>
      </c>
      <c r="G554" s="78">
        <v>0</v>
      </c>
      <c r="H554" s="78">
        <v>0</v>
      </c>
      <c r="I554" s="78">
        <v>0</v>
      </c>
      <c r="J554" s="78">
        <v>0</v>
      </c>
      <c r="K554" s="78">
        <v>0</v>
      </c>
      <c r="L554" s="36" t="e">
        <f t="shared" ca="1" si="112"/>
        <v>#N/A</v>
      </c>
      <c r="M554" s="37" t="e">
        <f t="shared" ca="1" si="110"/>
        <v>#N/A</v>
      </c>
      <c r="N554" s="37" t="e">
        <f t="shared" ca="1" si="111"/>
        <v>#N/A</v>
      </c>
      <c r="P554" s="35" t="e">
        <f t="shared" ca="1" si="119"/>
        <v>#N/A</v>
      </c>
      <c r="Q554" s="59" t="e">
        <f t="shared" ca="1" si="113"/>
        <v>#N/A</v>
      </c>
      <c r="R554" s="44" t="e">
        <f t="shared" ca="1" si="114"/>
        <v>#N/A</v>
      </c>
      <c r="S554" s="37" t="e">
        <f ca="1">IF(P554="","",IF(P554="Total",SUM($S$19:S553),VLOOKUP($P554,$B$12:$L618,11,FALSE)))</f>
        <v>#N/A</v>
      </c>
      <c r="T554" s="44" t="e">
        <f ca="1">IF(payfreq="Annually",IF(P554="","",IF(P554="Total",SUM($T$19:T553),Adj_Rate*$R554)),IF(payfreq="Semiannually",IF(P554="","",IF(P554="Total",SUM($T$19:T553),Adj_Rate/2*$R554)),IF(payfreq="Quarterly",IF(P554="","",IF(P554="Total",SUM($T$19:T553),Adj_Rate/4*$R554)),IF(payfreq="Monthly",IF(P554="","",IF(P554="Total",SUM($T$19:T553),Adj_Rate/12*$R554)),""))))</f>
        <v>#N/A</v>
      </c>
      <c r="U554" s="37" t="e">
        <f t="shared" ca="1" si="115"/>
        <v>#N/A</v>
      </c>
      <c r="V554" s="44" t="e">
        <f t="shared" ca="1" si="116"/>
        <v>#N/A</v>
      </c>
    </row>
    <row r="555" spans="2:22">
      <c r="B555" s="38" t="e">
        <f t="shared" ca="1" si="117"/>
        <v>#N/A</v>
      </c>
      <c r="C555" s="77" t="e">
        <f t="shared" ca="1" si="118"/>
        <v>#N/A</v>
      </c>
      <c r="D555" s="78" t="e">
        <f ca="1">+IF(AND(B555&lt;$G$7),VLOOKUP($B$1,Inventory!$A$1:$BC$500,35,FALSE),IF(AND(B555=$G$7,pmt_timing="End"),VLOOKUP($B$1,Inventory!$A$1:$BC$500,35,FALSE),0))</f>
        <v>#N/A</v>
      </c>
      <c r="E555" s="78">
        <v>0</v>
      </c>
      <c r="F555" s="78">
        <v>0</v>
      </c>
      <c r="G555" s="78">
        <v>0</v>
      </c>
      <c r="H555" s="78">
        <v>0</v>
      </c>
      <c r="I555" s="78">
        <v>0</v>
      </c>
      <c r="J555" s="78">
        <v>0</v>
      </c>
      <c r="K555" s="78">
        <v>0</v>
      </c>
      <c r="L555" s="36" t="e">
        <f t="shared" ca="1" si="112"/>
        <v>#N/A</v>
      </c>
      <c r="M555" s="37" t="e">
        <f t="shared" ca="1" si="110"/>
        <v>#N/A</v>
      </c>
      <c r="N555" s="37" t="e">
        <f t="shared" ca="1" si="111"/>
        <v>#N/A</v>
      </c>
      <c r="P555" s="35" t="e">
        <f t="shared" ca="1" si="119"/>
        <v>#N/A</v>
      </c>
      <c r="Q555" s="59" t="e">
        <f t="shared" ca="1" si="113"/>
        <v>#N/A</v>
      </c>
      <c r="R555" s="44" t="e">
        <f t="shared" ca="1" si="114"/>
        <v>#N/A</v>
      </c>
      <c r="S555" s="37" t="e">
        <f ca="1">IF(P555="","",IF(P555="Total",SUM($S$19:S554),VLOOKUP($P555,$B$12:$L619,11,FALSE)))</f>
        <v>#N/A</v>
      </c>
      <c r="T555" s="44" t="e">
        <f ca="1">IF(payfreq="Annually",IF(P555="","",IF(P555="Total",SUM($T$19:T554),Adj_Rate*$R555)),IF(payfreq="Semiannually",IF(P555="","",IF(P555="Total",SUM($T$19:T554),Adj_Rate/2*$R555)),IF(payfreq="Quarterly",IF(P555="","",IF(P555="Total",SUM($T$19:T554),Adj_Rate/4*$R555)),IF(payfreq="Monthly",IF(P555="","",IF(P555="Total",SUM($T$19:T554),Adj_Rate/12*$R555)),""))))</f>
        <v>#N/A</v>
      </c>
      <c r="U555" s="37" t="e">
        <f t="shared" ca="1" si="115"/>
        <v>#N/A</v>
      </c>
      <c r="V555" s="44" t="e">
        <f t="shared" ca="1" si="116"/>
        <v>#N/A</v>
      </c>
    </row>
    <row r="556" spans="2:22">
      <c r="B556" s="38" t="e">
        <f t="shared" ca="1" si="117"/>
        <v>#N/A</v>
      </c>
      <c r="C556" s="77" t="e">
        <f t="shared" ca="1" si="118"/>
        <v>#N/A</v>
      </c>
      <c r="D556" s="78" t="e">
        <f ca="1">+IF(AND(B556&lt;$G$7),VLOOKUP($B$1,Inventory!$A$1:$BC$500,35,FALSE),IF(AND(B556=$G$7,pmt_timing="End"),VLOOKUP($B$1,Inventory!$A$1:$BC$500,35,FALSE),0))</f>
        <v>#N/A</v>
      </c>
      <c r="E556" s="78">
        <v>0</v>
      </c>
      <c r="F556" s="78">
        <v>0</v>
      </c>
      <c r="G556" s="78">
        <v>0</v>
      </c>
      <c r="H556" s="78">
        <v>0</v>
      </c>
      <c r="I556" s="78">
        <v>0</v>
      </c>
      <c r="J556" s="78">
        <v>0</v>
      </c>
      <c r="K556" s="78">
        <v>0</v>
      </c>
      <c r="L556" s="36" t="e">
        <f t="shared" ca="1" si="112"/>
        <v>#N/A</v>
      </c>
      <c r="M556" s="37" t="e">
        <f t="shared" ca="1" si="110"/>
        <v>#N/A</v>
      </c>
      <c r="N556" s="37" t="e">
        <f t="shared" ca="1" si="111"/>
        <v>#N/A</v>
      </c>
      <c r="P556" s="35" t="e">
        <f t="shared" ca="1" si="119"/>
        <v>#N/A</v>
      </c>
      <c r="Q556" s="59" t="e">
        <f t="shared" ca="1" si="113"/>
        <v>#N/A</v>
      </c>
      <c r="R556" s="44" t="e">
        <f t="shared" ca="1" si="114"/>
        <v>#N/A</v>
      </c>
      <c r="S556" s="37" t="e">
        <f ca="1">IF(P556="","",IF(P556="Total",SUM($S$19:S555),VLOOKUP($P556,$B$12:$L620,11,FALSE)))</f>
        <v>#N/A</v>
      </c>
      <c r="T556" s="44" t="e">
        <f ca="1">IF(payfreq="Annually",IF(P556="","",IF(P556="Total",SUM($T$19:T555),Adj_Rate*$R556)),IF(payfreq="Semiannually",IF(P556="","",IF(P556="Total",SUM($T$19:T555),Adj_Rate/2*$R556)),IF(payfreq="Quarterly",IF(P556="","",IF(P556="Total",SUM($T$19:T555),Adj_Rate/4*$R556)),IF(payfreq="Monthly",IF(P556="","",IF(P556="Total",SUM($T$19:T555),Adj_Rate/12*$R556)),""))))</f>
        <v>#N/A</v>
      </c>
      <c r="U556" s="37" t="e">
        <f t="shared" ca="1" si="115"/>
        <v>#N/A</v>
      </c>
      <c r="V556" s="44" t="e">
        <f t="shared" ca="1" si="116"/>
        <v>#N/A</v>
      </c>
    </row>
    <row r="557" spans="2:22">
      <c r="B557" s="38" t="e">
        <f t="shared" ca="1" si="117"/>
        <v>#N/A</v>
      </c>
      <c r="C557" s="77" t="e">
        <f t="shared" ca="1" si="118"/>
        <v>#N/A</v>
      </c>
      <c r="D557" s="78" t="e">
        <f ca="1">+IF(AND(B557&lt;$G$7),VLOOKUP($B$1,Inventory!$A$1:$BC$500,35,FALSE),IF(AND(B557=$G$7,pmt_timing="End"),VLOOKUP($B$1,Inventory!$A$1:$BC$500,35,FALSE),0))</f>
        <v>#N/A</v>
      </c>
      <c r="E557" s="78">
        <v>0</v>
      </c>
      <c r="F557" s="78">
        <v>0</v>
      </c>
      <c r="G557" s="78">
        <v>0</v>
      </c>
      <c r="H557" s="78">
        <v>0</v>
      </c>
      <c r="I557" s="78">
        <v>0</v>
      </c>
      <c r="J557" s="78">
        <v>0</v>
      </c>
      <c r="K557" s="78">
        <v>0</v>
      </c>
      <c r="L557" s="36" t="e">
        <f t="shared" ca="1" si="112"/>
        <v>#N/A</v>
      </c>
      <c r="M557" s="37" t="e">
        <f t="shared" ca="1" si="110"/>
        <v>#N/A</v>
      </c>
      <c r="N557" s="37" t="e">
        <f t="shared" ca="1" si="111"/>
        <v>#N/A</v>
      </c>
      <c r="P557" s="35" t="e">
        <f t="shared" ca="1" si="119"/>
        <v>#N/A</v>
      </c>
      <c r="Q557" s="59" t="e">
        <f t="shared" ca="1" si="113"/>
        <v>#N/A</v>
      </c>
      <c r="R557" s="44" t="e">
        <f t="shared" ca="1" si="114"/>
        <v>#N/A</v>
      </c>
      <c r="S557" s="37" t="e">
        <f ca="1">IF(P557="","",IF(P557="Total",SUM($S$19:S556),VLOOKUP($P557,$B$12:$L621,11,FALSE)))</f>
        <v>#N/A</v>
      </c>
      <c r="T557" s="44" t="e">
        <f ca="1">IF(payfreq="Annually",IF(P557="","",IF(P557="Total",SUM($T$19:T556),Adj_Rate*$R557)),IF(payfreq="Semiannually",IF(P557="","",IF(P557="Total",SUM($T$19:T556),Adj_Rate/2*$R557)),IF(payfreq="Quarterly",IF(P557="","",IF(P557="Total",SUM($T$19:T556),Adj_Rate/4*$R557)),IF(payfreq="Monthly",IF(P557="","",IF(P557="Total",SUM($T$19:T556),Adj_Rate/12*$R557)),""))))</f>
        <v>#N/A</v>
      </c>
      <c r="U557" s="37" t="e">
        <f t="shared" ca="1" si="115"/>
        <v>#N/A</v>
      </c>
      <c r="V557" s="44" t="e">
        <f t="shared" ca="1" si="116"/>
        <v>#N/A</v>
      </c>
    </row>
    <row r="558" spans="2:22">
      <c r="B558" s="38" t="e">
        <f t="shared" ca="1" si="117"/>
        <v>#N/A</v>
      </c>
      <c r="C558" s="77" t="e">
        <f t="shared" ca="1" si="118"/>
        <v>#N/A</v>
      </c>
      <c r="D558" s="78" t="e">
        <f ca="1">+IF(AND(B558&lt;$G$7),VLOOKUP($B$1,Inventory!$A$1:$BC$500,35,FALSE),IF(AND(B558=$G$7,pmt_timing="End"),VLOOKUP($B$1,Inventory!$A$1:$BC$500,35,FALSE),0))</f>
        <v>#N/A</v>
      </c>
      <c r="E558" s="78">
        <v>0</v>
      </c>
      <c r="F558" s="78">
        <v>0</v>
      </c>
      <c r="G558" s="78">
        <v>0</v>
      </c>
      <c r="H558" s="78">
        <v>0</v>
      </c>
      <c r="I558" s="78">
        <v>0</v>
      </c>
      <c r="J558" s="78">
        <v>0</v>
      </c>
      <c r="K558" s="78">
        <v>0</v>
      </c>
      <c r="L558" s="36" t="e">
        <f t="shared" ca="1" si="112"/>
        <v>#N/A</v>
      </c>
      <c r="M558" s="37" t="e">
        <f t="shared" ca="1" si="110"/>
        <v>#N/A</v>
      </c>
      <c r="N558" s="37" t="e">
        <f t="shared" ca="1" si="111"/>
        <v>#N/A</v>
      </c>
      <c r="P558" s="35" t="e">
        <f t="shared" ca="1" si="119"/>
        <v>#N/A</v>
      </c>
      <c r="Q558" s="59" t="e">
        <f t="shared" ca="1" si="113"/>
        <v>#N/A</v>
      </c>
      <c r="R558" s="44" t="e">
        <f t="shared" ca="1" si="114"/>
        <v>#N/A</v>
      </c>
      <c r="S558" s="37" t="e">
        <f ca="1">IF(P558="","",IF(P558="Total",SUM($S$19:S557),VLOOKUP($P558,$B$12:$L622,11,FALSE)))</f>
        <v>#N/A</v>
      </c>
      <c r="T558" s="44" t="e">
        <f ca="1">IF(payfreq="Annually",IF(P558="","",IF(P558="Total",SUM($T$19:T557),Adj_Rate*$R558)),IF(payfreq="Semiannually",IF(P558="","",IF(P558="Total",SUM($T$19:T557),Adj_Rate/2*$R558)),IF(payfreq="Quarterly",IF(P558="","",IF(P558="Total",SUM($T$19:T557),Adj_Rate/4*$R558)),IF(payfreq="Monthly",IF(P558="","",IF(P558="Total",SUM($T$19:T557),Adj_Rate/12*$R558)),""))))</f>
        <v>#N/A</v>
      </c>
      <c r="U558" s="37" t="e">
        <f t="shared" ca="1" si="115"/>
        <v>#N/A</v>
      </c>
      <c r="V558" s="44" t="e">
        <f t="shared" ca="1" si="116"/>
        <v>#N/A</v>
      </c>
    </row>
    <row r="559" spans="2:22">
      <c r="B559" s="38" t="e">
        <f t="shared" ca="1" si="117"/>
        <v>#N/A</v>
      </c>
      <c r="C559" s="77" t="e">
        <f t="shared" ca="1" si="118"/>
        <v>#N/A</v>
      </c>
      <c r="D559" s="78" t="e">
        <f ca="1">+IF(AND(B559&lt;$G$7),VLOOKUP($B$1,Inventory!$A$1:$BC$500,35,FALSE),IF(AND(B559=$G$7,pmt_timing="End"),VLOOKUP($B$1,Inventory!$A$1:$BC$500,35,FALSE),0))</f>
        <v>#N/A</v>
      </c>
      <c r="E559" s="78">
        <v>0</v>
      </c>
      <c r="F559" s="78">
        <v>0</v>
      </c>
      <c r="G559" s="78">
        <v>0</v>
      </c>
      <c r="H559" s="78">
        <v>0</v>
      </c>
      <c r="I559" s="78">
        <v>0</v>
      </c>
      <c r="J559" s="78">
        <v>0</v>
      </c>
      <c r="K559" s="78">
        <v>0</v>
      </c>
      <c r="L559" s="36" t="e">
        <f t="shared" ca="1" si="112"/>
        <v>#N/A</v>
      </c>
      <c r="M559" s="37" t="e">
        <f t="shared" ca="1" si="110"/>
        <v>#N/A</v>
      </c>
      <c r="N559" s="37" t="e">
        <f t="shared" ca="1" si="111"/>
        <v>#N/A</v>
      </c>
      <c r="P559" s="35" t="e">
        <f t="shared" ca="1" si="119"/>
        <v>#N/A</v>
      </c>
      <c r="Q559" s="59" t="e">
        <f t="shared" ca="1" si="113"/>
        <v>#N/A</v>
      </c>
      <c r="R559" s="44" t="e">
        <f t="shared" ca="1" si="114"/>
        <v>#N/A</v>
      </c>
      <c r="S559" s="37" t="e">
        <f ca="1">IF(P559="","",IF(P559="Total",SUM($S$19:S558),VLOOKUP($P559,$B$12:$L623,11,FALSE)))</f>
        <v>#N/A</v>
      </c>
      <c r="T559" s="44" t="e">
        <f ca="1">IF(payfreq="Annually",IF(P559="","",IF(P559="Total",SUM($T$19:T558),Adj_Rate*$R559)),IF(payfreq="Semiannually",IF(P559="","",IF(P559="Total",SUM($T$19:T558),Adj_Rate/2*$R559)),IF(payfreq="Quarterly",IF(P559="","",IF(P559="Total",SUM($T$19:T558),Adj_Rate/4*$R559)),IF(payfreq="Monthly",IF(P559="","",IF(P559="Total",SUM($T$19:T558),Adj_Rate/12*$R559)),""))))</f>
        <v>#N/A</v>
      </c>
      <c r="U559" s="37" t="e">
        <f t="shared" ca="1" si="115"/>
        <v>#N/A</v>
      </c>
      <c r="V559" s="44" t="e">
        <f t="shared" ca="1" si="116"/>
        <v>#N/A</v>
      </c>
    </row>
    <row r="560" spans="2:22">
      <c r="B560" s="38" t="e">
        <f t="shared" ca="1" si="117"/>
        <v>#N/A</v>
      </c>
      <c r="C560" s="77" t="e">
        <f t="shared" ca="1" si="118"/>
        <v>#N/A</v>
      </c>
      <c r="D560" s="78" t="e">
        <f ca="1">+IF(AND(B560&lt;$G$7),VLOOKUP($B$1,Inventory!$A$1:$BC$500,35,FALSE),IF(AND(B560=$G$7,pmt_timing="End"),VLOOKUP($B$1,Inventory!$A$1:$BC$500,35,FALSE),0))</f>
        <v>#N/A</v>
      </c>
      <c r="E560" s="78">
        <v>0</v>
      </c>
      <c r="F560" s="78">
        <v>0</v>
      </c>
      <c r="G560" s="78">
        <v>0</v>
      </c>
      <c r="H560" s="78">
        <v>0</v>
      </c>
      <c r="I560" s="78">
        <v>0</v>
      </c>
      <c r="J560" s="78">
        <v>0</v>
      </c>
      <c r="K560" s="78">
        <v>0</v>
      </c>
      <c r="L560" s="36" t="e">
        <f t="shared" ca="1" si="112"/>
        <v>#N/A</v>
      </c>
      <c r="M560" s="37" t="e">
        <f t="shared" ca="1" si="110"/>
        <v>#N/A</v>
      </c>
      <c r="N560" s="37" t="e">
        <f t="shared" ca="1" si="111"/>
        <v>#N/A</v>
      </c>
      <c r="P560" s="35" t="e">
        <f t="shared" ca="1" si="119"/>
        <v>#N/A</v>
      </c>
      <c r="Q560" s="59" t="e">
        <f t="shared" ca="1" si="113"/>
        <v>#N/A</v>
      </c>
      <c r="R560" s="44" t="e">
        <f t="shared" ca="1" si="114"/>
        <v>#N/A</v>
      </c>
      <c r="S560" s="37" t="e">
        <f ca="1">IF(P560="","",IF(P560="Total",SUM($S$19:S559),VLOOKUP($P560,$B$12:$L624,11,FALSE)))</f>
        <v>#N/A</v>
      </c>
      <c r="T560" s="44" t="e">
        <f ca="1">IF(payfreq="Annually",IF(P560="","",IF(P560="Total",SUM($T$19:T559),Adj_Rate*$R560)),IF(payfreq="Semiannually",IF(P560="","",IF(P560="Total",SUM($T$19:T559),Adj_Rate/2*$R560)),IF(payfreq="Quarterly",IF(P560="","",IF(P560="Total",SUM($T$19:T559),Adj_Rate/4*$R560)),IF(payfreq="Monthly",IF(P560="","",IF(P560="Total",SUM($T$19:T559),Adj_Rate/12*$R560)),""))))</f>
        <v>#N/A</v>
      </c>
      <c r="U560" s="37" t="e">
        <f t="shared" ca="1" si="115"/>
        <v>#N/A</v>
      </c>
      <c r="V560" s="44" t="e">
        <f t="shared" ca="1" si="116"/>
        <v>#N/A</v>
      </c>
    </row>
    <row r="561" spans="2:22">
      <c r="B561" s="38" t="e">
        <f t="shared" ca="1" si="117"/>
        <v>#N/A</v>
      </c>
      <c r="C561" s="77" t="e">
        <f t="shared" ca="1" si="118"/>
        <v>#N/A</v>
      </c>
      <c r="D561" s="78" t="e">
        <f ca="1">+IF(AND(B561&lt;$G$7),VLOOKUP($B$1,Inventory!$A$1:$BC$500,35,FALSE),IF(AND(B561=$G$7,pmt_timing="End"),VLOOKUP($B$1,Inventory!$A$1:$BC$500,35,FALSE),0))</f>
        <v>#N/A</v>
      </c>
      <c r="E561" s="78">
        <v>0</v>
      </c>
      <c r="F561" s="78">
        <v>0</v>
      </c>
      <c r="G561" s="78">
        <v>0</v>
      </c>
      <c r="H561" s="78">
        <v>0</v>
      </c>
      <c r="I561" s="78">
        <v>0</v>
      </c>
      <c r="J561" s="78">
        <v>0</v>
      </c>
      <c r="K561" s="78">
        <v>0</v>
      </c>
      <c r="L561" s="36" t="e">
        <f t="shared" ca="1" si="112"/>
        <v>#N/A</v>
      </c>
      <c r="M561" s="37" t="e">
        <f t="shared" ca="1" si="110"/>
        <v>#N/A</v>
      </c>
      <c r="N561" s="37" t="e">
        <f t="shared" ca="1" si="111"/>
        <v>#N/A</v>
      </c>
      <c r="P561" s="35" t="e">
        <f t="shared" ca="1" si="119"/>
        <v>#N/A</v>
      </c>
      <c r="Q561" s="59" t="e">
        <f t="shared" ca="1" si="113"/>
        <v>#N/A</v>
      </c>
      <c r="R561" s="44" t="e">
        <f t="shared" ca="1" si="114"/>
        <v>#N/A</v>
      </c>
      <c r="S561" s="37" t="e">
        <f ca="1">IF(P561="","",IF(P561="Total",SUM($S$19:S560),VLOOKUP($P561,$B$12:$L625,11,FALSE)))</f>
        <v>#N/A</v>
      </c>
      <c r="T561" s="44" t="e">
        <f ca="1">IF(payfreq="Annually",IF(P561="","",IF(P561="Total",SUM($T$19:T560),Adj_Rate*$R561)),IF(payfreq="Semiannually",IF(P561="","",IF(P561="Total",SUM($T$19:T560),Adj_Rate/2*$R561)),IF(payfreq="Quarterly",IF(P561="","",IF(P561="Total",SUM($T$19:T560),Adj_Rate/4*$R561)),IF(payfreq="Monthly",IF(P561="","",IF(P561="Total",SUM($T$19:T560),Adj_Rate/12*$R561)),""))))</f>
        <v>#N/A</v>
      </c>
      <c r="U561" s="37" t="e">
        <f t="shared" ca="1" si="115"/>
        <v>#N/A</v>
      </c>
      <c r="V561" s="44" t="e">
        <f t="shared" ca="1" si="116"/>
        <v>#N/A</v>
      </c>
    </row>
    <row r="562" spans="2:22">
      <c r="B562" s="38" t="e">
        <f t="shared" ca="1" si="117"/>
        <v>#N/A</v>
      </c>
      <c r="C562" s="77" t="e">
        <f t="shared" ca="1" si="118"/>
        <v>#N/A</v>
      </c>
      <c r="D562" s="78" t="e">
        <f ca="1">+IF(AND(B562&lt;$G$7),VLOOKUP($B$1,Inventory!$A$1:$BC$500,35,FALSE),IF(AND(B562=$G$7,pmt_timing="End"),VLOOKUP($B$1,Inventory!$A$1:$BC$500,35,FALSE),0))</f>
        <v>#N/A</v>
      </c>
      <c r="E562" s="78">
        <v>0</v>
      </c>
      <c r="F562" s="78">
        <v>0</v>
      </c>
      <c r="G562" s="78">
        <v>0</v>
      </c>
      <c r="H562" s="78">
        <v>0</v>
      </c>
      <c r="I562" s="78">
        <v>0</v>
      </c>
      <c r="J562" s="78">
        <v>0</v>
      </c>
      <c r="K562" s="78">
        <v>0</v>
      </c>
      <c r="L562" s="36" t="e">
        <f t="shared" ca="1" si="112"/>
        <v>#N/A</v>
      </c>
      <c r="M562" s="37" t="e">
        <f t="shared" ca="1" si="110"/>
        <v>#N/A</v>
      </c>
      <c r="N562" s="37" t="e">
        <f t="shared" ca="1" si="111"/>
        <v>#N/A</v>
      </c>
      <c r="P562" s="35" t="e">
        <f t="shared" ca="1" si="119"/>
        <v>#N/A</v>
      </c>
      <c r="Q562" s="59" t="e">
        <f t="shared" ca="1" si="113"/>
        <v>#N/A</v>
      </c>
      <c r="R562" s="44" t="e">
        <f t="shared" ca="1" si="114"/>
        <v>#N/A</v>
      </c>
      <c r="S562" s="37" t="e">
        <f ca="1">IF(P562="","",IF(P562="Total",SUM($S$19:S561),VLOOKUP($P562,$B$12:$L626,11,FALSE)))</f>
        <v>#N/A</v>
      </c>
      <c r="T562" s="44" t="e">
        <f ca="1">IF(payfreq="Annually",IF(P562="","",IF(P562="Total",SUM($T$19:T561),Adj_Rate*$R562)),IF(payfreq="Semiannually",IF(P562="","",IF(P562="Total",SUM($T$19:T561),Adj_Rate/2*$R562)),IF(payfreq="Quarterly",IF(P562="","",IF(P562="Total",SUM($T$19:T561),Adj_Rate/4*$R562)),IF(payfreq="Monthly",IF(P562="","",IF(P562="Total",SUM($T$19:T561),Adj_Rate/12*$R562)),""))))</f>
        <v>#N/A</v>
      </c>
      <c r="U562" s="37" t="e">
        <f t="shared" ca="1" si="115"/>
        <v>#N/A</v>
      </c>
      <c r="V562" s="44" t="e">
        <f t="shared" ca="1" si="116"/>
        <v>#N/A</v>
      </c>
    </row>
    <row r="563" spans="2:22">
      <c r="B563" s="38" t="e">
        <f t="shared" ca="1" si="117"/>
        <v>#N/A</v>
      </c>
      <c r="C563" s="77" t="e">
        <f t="shared" ca="1" si="118"/>
        <v>#N/A</v>
      </c>
      <c r="D563" s="78" t="e">
        <f ca="1">+IF(AND(B563&lt;$G$7),VLOOKUP($B$1,Inventory!$A$1:$BC$500,35,FALSE),IF(AND(B563=$G$7,pmt_timing="End"),VLOOKUP($B$1,Inventory!$A$1:$BC$500,35,FALSE),0))</f>
        <v>#N/A</v>
      </c>
      <c r="E563" s="78">
        <v>0</v>
      </c>
      <c r="F563" s="78">
        <v>0</v>
      </c>
      <c r="G563" s="78">
        <v>0</v>
      </c>
      <c r="H563" s="78">
        <v>0</v>
      </c>
      <c r="I563" s="78">
        <v>0</v>
      </c>
      <c r="J563" s="78">
        <v>0</v>
      </c>
      <c r="K563" s="78">
        <v>0</v>
      </c>
      <c r="L563" s="36" t="e">
        <f t="shared" ca="1" si="112"/>
        <v>#N/A</v>
      </c>
      <c r="M563" s="37" t="e">
        <f t="shared" ca="1" si="110"/>
        <v>#N/A</v>
      </c>
      <c r="N563" s="37" t="e">
        <f t="shared" ca="1" si="111"/>
        <v>#N/A</v>
      </c>
      <c r="P563" s="35" t="e">
        <f t="shared" ca="1" si="119"/>
        <v>#N/A</v>
      </c>
      <c r="Q563" s="59" t="e">
        <f t="shared" ca="1" si="113"/>
        <v>#N/A</v>
      </c>
      <c r="R563" s="44" t="e">
        <f t="shared" ca="1" si="114"/>
        <v>#N/A</v>
      </c>
      <c r="S563" s="37" t="e">
        <f ca="1">IF(P563="","",IF(P563="Total",SUM($S$19:S562),VLOOKUP($P563,$B$12:$L627,11,FALSE)))</f>
        <v>#N/A</v>
      </c>
      <c r="T563" s="44" t="e">
        <f ca="1">IF(payfreq="Annually",IF(P563="","",IF(P563="Total",SUM($T$19:T562),Adj_Rate*$R563)),IF(payfreq="Semiannually",IF(P563="","",IF(P563="Total",SUM($T$19:T562),Adj_Rate/2*$R563)),IF(payfreq="Quarterly",IF(P563="","",IF(P563="Total",SUM($T$19:T562),Adj_Rate/4*$R563)),IF(payfreq="Monthly",IF(P563="","",IF(P563="Total",SUM($T$19:T562),Adj_Rate/12*$R563)),""))))</f>
        <v>#N/A</v>
      </c>
      <c r="U563" s="37" t="e">
        <f t="shared" ca="1" si="115"/>
        <v>#N/A</v>
      </c>
      <c r="V563" s="44" t="e">
        <f t="shared" ca="1" si="116"/>
        <v>#N/A</v>
      </c>
    </row>
    <row r="564" spans="2:22">
      <c r="B564" s="38" t="e">
        <f t="shared" ca="1" si="117"/>
        <v>#N/A</v>
      </c>
      <c r="C564" s="77" t="e">
        <f t="shared" ca="1" si="118"/>
        <v>#N/A</v>
      </c>
      <c r="D564" s="78" t="e">
        <f ca="1">+IF(AND(B564&lt;$G$7),VLOOKUP($B$1,Inventory!$A$1:$BC$500,35,FALSE),IF(AND(B564=$G$7,pmt_timing="End"),VLOOKUP($B$1,Inventory!$A$1:$BC$500,35,FALSE),0))</f>
        <v>#N/A</v>
      </c>
      <c r="E564" s="78">
        <v>0</v>
      </c>
      <c r="F564" s="78">
        <v>0</v>
      </c>
      <c r="G564" s="78">
        <v>0</v>
      </c>
      <c r="H564" s="78">
        <v>0</v>
      </c>
      <c r="I564" s="78">
        <v>0</v>
      </c>
      <c r="J564" s="78">
        <v>0</v>
      </c>
      <c r="K564" s="78">
        <v>0</v>
      </c>
      <c r="L564" s="36" t="e">
        <f t="shared" ca="1" si="112"/>
        <v>#N/A</v>
      </c>
      <c r="M564" s="37" t="e">
        <f t="shared" ca="1" si="110"/>
        <v>#N/A</v>
      </c>
      <c r="N564" s="37" t="e">
        <f t="shared" ca="1" si="111"/>
        <v>#N/A</v>
      </c>
      <c r="P564" s="35" t="e">
        <f t="shared" ca="1" si="119"/>
        <v>#N/A</v>
      </c>
      <c r="Q564" s="59" t="e">
        <f t="shared" ca="1" si="113"/>
        <v>#N/A</v>
      </c>
      <c r="R564" s="44" t="e">
        <f t="shared" ca="1" si="114"/>
        <v>#N/A</v>
      </c>
      <c r="S564" s="37" t="e">
        <f ca="1">IF(P564="","",IF(P564="Total",SUM($S$19:S563),VLOOKUP($P564,$B$12:$L628,11,FALSE)))</f>
        <v>#N/A</v>
      </c>
      <c r="T564" s="44" t="e">
        <f ca="1">IF(payfreq="Annually",IF(P564="","",IF(P564="Total",SUM($T$19:T563),Adj_Rate*$R564)),IF(payfreq="Semiannually",IF(P564="","",IF(P564="Total",SUM($T$19:T563),Adj_Rate/2*$R564)),IF(payfreq="Quarterly",IF(P564="","",IF(P564="Total",SUM($T$19:T563),Adj_Rate/4*$R564)),IF(payfreq="Monthly",IF(P564="","",IF(P564="Total",SUM($T$19:T563),Adj_Rate/12*$R564)),""))))</f>
        <v>#N/A</v>
      </c>
      <c r="U564" s="37" t="e">
        <f t="shared" ca="1" si="115"/>
        <v>#N/A</v>
      </c>
      <c r="V564" s="44" t="e">
        <f t="shared" ca="1" si="116"/>
        <v>#N/A</v>
      </c>
    </row>
    <row r="565" spans="2:22">
      <c r="B565" s="38" t="e">
        <f t="shared" ca="1" si="117"/>
        <v>#N/A</v>
      </c>
      <c r="C565" s="77" t="e">
        <f t="shared" ca="1" si="118"/>
        <v>#N/A</v>
      </c>
      <c r="D565" s="78" t="e">
        <f ca="1">+IF(AND(B565&lt;$G$7),VLOOKUP($B$1,Inventory!$A$1:$BC$500,35,FALSE),IF(AND(B565=$G$7,pmt_timing="End"),VLOOKUP($B$1,Inventory!$A$1:$BC$500,35,FALSE),0))</f>
        <v>#N/A</v>
      </c>
      <c r="E565" s="78">
        <v>0</v>
      </c>
      <c r="F565" s="78">
        <v>0</v>
      </c>
      <c r="G565" s="78">
        <v>0</v>
      </c>
      <c r="H565" s="78">
        <v>0</v>
      </c>
      <c r="I565" s="78">
        <v>0</v>
      </c>
      <c r="J565" s="78">
        <v>0</v>
      </c>
      <c r="K565" s="78">
        <v>0</v>
      </c>
      <c r="L565" s="36" t="e">
        <f t="shared" ca="1" si="112"/>
        <v>#N/A</v>
      </c>
      <c r="M565" s="37" t="e">
        <f t="shared" ca="1" si="110"/>
        <v>#N/A</v>
      </c>
      <c r="N565" s="37" t="e">
        <f t="shared" ca="1" si="111"/>
        <v>#N/A</v>
      </c>
      <c r="P565" s="35" t="e">
        <f t="shared" ca="1" si="119"/>
        <v>#N/A</v>
      </c>
      <c r="Q565" s="59" t="e">
        <f t="shared" ca="1" si="113"/>
        <v>#N/A</v>
      </c>
      <c r="R565" s="44" t="e">
        <f t="shared" ca="1" si="114"/>
        <v>#N/A</v>
      </c>
      <c r="S565" s="37" t="e">
        <f ca="1">IF(P565="","",IF(P565="Total",SUM($S$19:S564),VLOOKUP($P565,$B$12:$L629,11,FALSE)))</f>
        <v>#N/A</v>
      </c>
      <c r="T565" s="44" t="e">
        <f ca="1">IF(payfreq="Annually",IF(P565="","",IF(P565="Total",SUM($T$19:T564),Adj_Rate*$R565)),IF(payfreq="Semiannually",IF(P565="","",IF(P565="Total",SUM($T$19:T564),Adj_Rate/2*$R565)),IF(payfreq="Quarterly",IF(P565="","",IF(P565="Total",SUM($T$19:T564),Adj_Rate/4*$R565)),IF(payfreq="Monthly",IF(P565="","",IF(P565="Total",SUM($T$19:T564),Adj_Rate/12*$R565)),""))))</f>
        <v>#N/A</v>
      </c>
      <c r="U565" s="37" t="e">
        <f t="shared" ca="1" si="115"/>
        <v>#N/A</v>
      </c>
      <c r="V565" s="44" t="e">
        <f t="shared" ca="1" si="116"/>
        <v>#N/A</v>
      </c>
    </row>
    <row r="566" spans="2:22">
      <c r="B566" s="38" t="e">
        <f t="shared" ca="1" si="117"/>
        <v>#N/A</v>
      </c>
      <c r="C566" s="77" t="e">
        <f t="shared" ca="1" si="118"/>
        <v>#N/A</v>
      </c>
      <c r="D566" s="78" t="e">
        <f ca="1">+IF(AND(B566&lt;$G$7),VLOOKUP($B$1,Inventory!$A$1:$BC$500,35,FALSE),IF(AND(B566=$G$7,pmt_timing="End"),VLOOKUP($B$1,Inventory!$A$1:$BC$500,35,FALSE),0))</f>
        <v>#N/A</v>
      </c>
      <c r="E566" s="78">
        <v>0</v>
      </c>
      <c r="F566" s="78">
        <v>0</v>
      </c>
      <c r="G566" s="78">
        <v>0</v>
      </c>
      <c r="H566" s="78">
        <v>0</v>
      </c>
      <c r="I566" s="78">
        <v>0</v>
      </c>
      <c r="J566" s="78">
        <v>0</v>
      </c>
      <c r="K566" s="78">
        <v>0</v>
      </c>
      <c r="L566" s="36" t="e">
        <f t="shared" ca="1" si="112"/>
        <v>#N/A</v>
      </c>
      <c r="M566" s="37" t="e">
        <f t="shared" ca="1" si="110"/>
        <v>#N/A</v>
      </c>
      <c r="N566" s="37" t="e">
        <f t="shared" ca="1" si="111"/>
        <v>#N/A</v>
      </c>
      <c r="P566" s="35" t="e">
        <f t="shared" ca="1" si="119"/>
        <v>#N/A</v>
      </c>
      <c r="Q566" s="59" t="e">
        <f t="shared" ca="1" si="113"/>
        <v>#N/A</v>
      </c>
      <c r="R566" s="44" t="e">
        <f t="shared" ca="1" si="114"/>
        <v>#N/A</v>
      </c>
      <c r="S566" s="37" t="e">
        <f ca="1">IF(P566="","",IF(P566="Total",SUM($S$19:S565),VLOOKUP($P566,$B$12:$L630,11,FALSE)))</f>
        <v>#N/A</v>
      </c>
      <c r="T566" s="44" t="e">
        <f ca="1">IF(payfreq="Annually",IF(P566="","",IF(P566="Total",SUM($T$19:T565),Adj_Rate*$R566)),IF(payfreq="Semiannually",IF(P566="","",IF(P566="Total",SUM($T$19:T565),Adj_Rate/2*$R566)),IF(payfreq="Quarterly",IF(P566="","",IF(P566="Total",SUM($T$19:T565),Adj_Rate/4*$R566)),IF(payfreq="Monthly",IF(P566="","",IF(P566="Total",SUM($T$19:T565),Adj_Rate/12*$R566)),""))))</f>
        <v>#N/A</v>
      </c>
      <c r="U566" s="37" t="e">
        <f t="shared" ca="1" si="115"/>
        <v>#N/A</v>
      </c>
      <c r="V566" s="44" t="e">
        <f t="shared" ca="1" si="116"/>
        <v>#N/A</v>
      </c>
    </row>
    <row r="567" spans="2:22">
      <c r="B567" s="38" t="e">
        <f t="shared" ca="1" si="117"/>
        <v>#N/A</v>
      </c>
      <c r="C567" s="77" t="e">
        <f t="shared" ca="1" si="118"/>
        <v>#N/A</v>
      </c>
      <c r="D567" s="78" t="e">
        <f ca="1">+IF(AND(B567&lt;$G$7),VLOOKUP($B$1,Inventory!$A$1:$BC$500,35,FALSE),IF(AND(B567=$G$7,pmt_timing="End"),VLOOKUP($B$1,Inventory!$A$1:$BC$500,35,FALSE),0))</f>
        <v>#N/A</v>
      </c>
      <c r="E567" s="78">
        <v>0</v>
      </c>
      <c r="F567" s="78">
        <v>0</v>
      </c>
      <c r="G567" s="78">
        <v>0</v>
      </c>
      <c r="H567" s="78">
        <v>0</v>
      </c>
      <c r="I567" s="78">
        <v>0</v>
      </c>
      <c r="J567" s="78">
        <v>0</v>
      </c>
      <c r="K567" s="78">
        <v>0</v>
      </c>
      <c r="L567" s="36" t="e">
        <f t="shared" ca="1" si="112"/>
        <v>#N/A</v>
      </c>
      <c r="M567" s="37" t="e">
        <f t="shared" ca="1" si="110"/>
        <v>#N/A</v>
      </c>
      <c r="N567" s="37" t="e">
        <f t="shared" ca="1" si="111"/>
        <v>#N/A</v>
      </c>
      <c r="P567" s="35" t="e">
        <f t="shared" ca="1" si="119"/>
        <v>#N/A</v>
      </c>
      <c r="Q567" s="59" t="e">
        <f t="shared" ca="1" si="113"/>
        <v>#N/A</v>
      </c>
      <c r="R567" s="44" t="e">
        <f t="shared" ca="1" si="114"/>
        <v>#N/A</v>
      </c>
      <c r="S567" s="37" t="e">
        <f ca="1">IF(P567="","",IF(P567="Total",SUM($S$19:S566),VLOOKUP($P567,$B$12:$L631,11,FALSE)))</f>
        <v>#N/A</v>
      </c>
      <c r="T567" s="44" t="e">
        <f ca="1">IF(payfreq="Annually",IF(P567="","",IF(P567="Total",SUM($T$19:T566),Adj_Rate*$R567)),IF(payfreq="Semiannually",IF(P567="","",IF(P567="Total",SUM($T$19:T566),Adj_Rate/2*$R567)),IF(payfreq="Quarterly",IF(P567="","",IF(P567="Total",SUM($T$19:T566),Adj_Rate/4*$R567)),IF(payfreq="Monthly",IF(P567="","",IF(P567="Total",SUM($T$19:T566),Adj_Rate/12*$R567)),""))))</f>
        <v>#N/A</v>
      </c>
      <c r="U567" s="37" t="e">
        <f t="shared" ca="1" si="115"/>
        <v>#N/A</v>
      </c>
      <c r="V567" s="44" t="e">
        <f t="shared" ca="1" si="116"/>
        <v>#N/A</v>
      </c>
    </row>
    <row r="568" spans="2:22">
      <c r="B568" s="38" t="e">
        <f t="shared" ca="1" si="117"/>
        <v>#N/A</v>
      </c>
      <c r="C568" s="77" t="e">
        <f t="shared" ca="1" si="118"/>
        <v>#N/A</v>
      </c>
      <c r="D568" s="78" t="e">
        <f ca="1">+IF(AND(B568&lt;$G$7),VLOOKUP($B$1,Inventory!$A$1:$BC$500,35,FALSE),IF(AND(B568=$G$7,pmt_timing="End"),VLOOKUP($B$1,Inventory!$A$1:$BC$500,35,FALSE),0))</f>
        <v>#N/A</v>
      </c>
      <c r="E568" s="78">
        <v>0</v>
      </c>
      <c r="F568" s="78">
        <v>0</v>
      </c>
      <c r="G568" s="78">
        <v>0</v>
      </c>
      <c r="H568" s="78">
        <v>0</v>
      </c>
      <c r="I568" s="78">
        <v>0</v>
      </c>
      <c r="J568" s="78">
        <v>0</v>
      </c>
      <c r="K568" s="78">
        <v>0</v>
      </c>
      <c r="L568" s="36" t="e">
        <f t="shared" ca="1" si="112"/>
        <v>#N/A</v>
      </c>
      <c r="M568" s="37" t="e">
        <f t="shared" ca="1" si="110"/>
        <v>#N/A</v>
      </c>
      <c r="N568" s="37" t="e">
        <f t="shared" ca="1" si="111"/>
        <v>#N/A</v>
      </c>
      <c r="P568" s="35" t="e">
        <f t="shared" ca="1" si="119"/>
        <v>#N/A</v>
      </c>
      <c r="Q568" s="59" t="e">
        <f t="shared" ca="1" si="113"/>
        <v>#N/A</v>
      </c>
      <c r="R568" s="44" t="e">
        <f t="shared" ca="1" si="114"/>
        <v>#N/A</v>
      </c>
      <c r="S568" s="37" t="e">
        <f ca="1">IF(P568="","",IF(P568="Total",SUM($S$19:S567),VLOOKUP($P568,$B$12:$L632,11,FALSE)))</f>
        <v>#N/A</v>
      </c>
      <c r="T568" s="44" t="e">
        <f ca="1">IF(payfreq="Annually",IF(P568="","",IF(P568="Total",SUM($T$19:T567),Adj_Rate*$R568)),IF(payfreq="Semiannually",IF(P568="","",IF(P568="Total",SUM($T$19:T567),Adj_Rate/2*$R568)),IF(payfreq="Quarterly",IF(P568="","",IF(P568="Total",SUM($T$19:T567),Adj_Rate/4*$R568)),IF(payfreq="Monthly",IF(P568="","",IF(P568="Total",SUM($T$19:T567),Adj_Rate/12*$R568)),""))))</f>
        <v>#N/A</v>
      </c>
      <c r="U568" s="37" t="e">
        <f t="shared" ca="1" si="115"/>
        <v>#N/A</v>
      </c>
      <c r="V568" s="44" t="e">
        <f t="shared" ca="1" si="116"/>
        <v>#N/A</v>
      </c>
    </row>
    <row r="569" spans="2:22">
      <c r="B569" s="38" t="e">
        <f t="shared" ca="1" si="117"/>
        <v>#N/A</v>
      </c>
      <c r="C569" s="77" t="e">
        <f t="shared" ca="1" si="118"/>
        <v>#N/A</v>
      </c>
      <c r="D569" s="78" t="e">
        <f ca="1">+IF(AND(B569&lt;$G$7),VLOOKUP($B$1,Inventory!$A$1:$BC$500,35,FALSE),IF(AND(B569=$G$7,pmt_timing="End"),VLOOKUP($B$1,Inventory!$A$1:$BC$500,35,FALSE),0))</f>
        <v>#N/A</v>
      </c>
      <c r="E569" s="78">
        <v>0</v>
      </c>
      <c r="F569" s="78">
        <v>0</v>
      </c>
      <c r="G569" s="78">
        <v>0</v>
      </c>
      <c r="H569" s="78">
        <v>0</v>
      </c>
      <c r="I569" s="78">
        <v>0</v>
      </c>
      <c r="J569" s="78">
        <v>0</v>
      </c>
      <c r="K569" s="78">
        <v>0</v>
      </c>
      <c r="L569" s="36" t="e">
        <f t="shared" ca="1" si="112"/>
        <v>#N/A</v>
      </c>
      <c r="M569" s="37" t="e">
        <f t="shared" ca="1" si="110"/>
        <v>#N/A</v>
      </c>
      <c r="N569" s="37" t="e">
        <f t="shared" ca="1" si="111"/>
        <v>#N/A</v>
      </c>
      <c r="P569" s="35" t="e">
        <f t="shared" ca="1" si="119"/>
        <v>#N/A</v>
      </c>
      <c r="Q569" s="59" t="e">
        <f t="shared" ca="1" si="113"/>
        <v>#N/A</v>
      </c>
      <c r="R569" s="44" t="e">
        <f t="shared" ca="1" si="114"/>
        <v>#N/A</v>
      </c>
      <c r="S569" s="37" t="e">
        <f ca="1">IF(P569="","",IF(P569="Total",SUM($S$19:S568),VLOOKUP($P569,$B$12:$L633,11,FALSE)))</f>
        <v>#N/A</v>
      </c>
      <c r="T569" s="44" t="e">
        <f ca="1">IF(payfreq="Annually",IF(P569="","",IF(P569="Total",SUM($T$19:T568),Adj_Rate*$R569)),IF(payfreq="Semiannually",IF(P569="","",IF(P569="Total",SUM($T$19:T568),Adj_Rate/2*$R569)),IF(payfreq="Quarterly",IF(P569="","",IF(P569="Total",SUM($T$19:T568),Adj_Rate/4*$R569)),IF(payfreq="Monthly",IF(P569="","",IF(P569="Total",SUM($T$19:T568),Adj_Rate/12*$R569)),""))))</f>
        <v>#N/A</v>
      </c>
      <c r="U569" s="37" t="e">
        <f t="shared" ca="1" si="115"/>
        <v>#N/A</v>
      </c>
      <c r="V569" s="44" t="e">
        <f t="shared" ca="1" si="116"/>
        <v>#N/A</v>
      </c>
    </row>
    <row r="570" spans="2:22">
      <c r="B570" s="38" t="e">
        <f t="shared" ca="1" si="117"/>
        <v>#N/A</v>
      </c>
      <c r="C570" s="77" t="e">
        <f t="shared" ca="1" si="118"/>
        <v>#N/A</v>
      </c>
      <c r="D570" s="78" t="e">
        <f ca="1">+IF(AND(B570&lt;$G$7),VLOOKUP($B$1,Inventory!$A$1:$BC$500,35,FALSE),IF(AND(B570=$G$7,pmt_timing="End"),VLOOKUP($B$1,Inventory!$A$1:$BC$500,35,FALSE),0))</f>
        <v>#N/A</v>
      </c>
      <c r="E570" s="78">
        <v>0</v>
      </c>
      <c r="F570" s="78">
        <v>0</v>
      </c>
      <c r="G570" s="78">
        <v>0</v>
      </c>
      <c r="H570" s="78">
        <v>0</v>
      </c>
      <c r="I570" s="78">
        <v>0</v>
      </c>
      <c r="J570" s="78">
        <v>0</v>
      </c>
      <c r="K570" s="78">
        <v>0</v>
      </c>
      <c r="L570" s="36" t="e">
        <f t="shared" ca="1" si="112"/>
        <v>#N/A</v>
      </c>
      <c r="M570" s="37" t="e">
        <f t="shared" ca="1" si="110"/>
        <v>#N/A</v>
      </c>
      <c r="N570" s="37" t="e">
        <f t="shared" ca="1" si="111"/>
        <v>#N/A</v>
      </c>
      <c r="P570" s="35" t="e">
        <f t="shared" ca="1" si="119"/>
        <v>#N/A</v>
      </c>
      <c r="Q570" s="59" t="e">
        <f t="shared" ca="1" si="113"/>
        <v>#N/A</v>
      </c>
      <c r="R570" s="44" t="e">
        <f t="shared" ca="1" si="114"/>
        <v>#N/A</v>
      </c>
      <c r="S570" s="37" t="e">
        <f ca="1">IF(P570="","",IF(P570="Total",SUM($S$19:S569),VLOOKUP($P570,$B$12:$L634,11,FALSE)))</f>
        <v>#N/A</v>
      </c>
      <c r="T570" s="44" t="e">
        <f ca="1">IF(payfreq="Annually",IF(P570="","",IF(P570="Total",SUM($T$19:T569),Adj_Rate*$R570)),IF(payfreq="Semiannually",IF(P570="","",IF(P570="Total",SUM($T$19:T569),Adj_Rate/2*$R570)),IF(payfreq="Quarterly",IF(P570="","",IF(P570="Total",SUM($T$19:T569),Adj_Rate/4*$R570)),IF(payfreq="Monthly",IF(P570="","",IF(P570="Total",SUM($T$19:T569),Adj_Rate/12*$R570)),""))))</f>
        <v>#N/A</v>
      </c>
      <c r="U570" s="37" t="e">
        <f t="shared" ca="1" si="115"/>
        <v>#N/A</v>
      </c>
      <c r="V570" s="44" t="e">
        <f t="shared" ca="1" si="116"/>
        <v>#N/A</v>
      </c>
    </row>
    <row r="571" spans="2:22">
      <c r="B571" s="38" t="e">
        <f t="shared" ca="1" si="117"/>
        <v>#N/A</v>
      </c>
      <c r="C571" s="77" t="e">
        <f t="shared" ca="1" si="118"/>
        <v>#N/A</v>
      </c>
      <c r="D571" s="78" t="e">
        <f ca="1">+IF(AND(B571&lt;$G$7),VLOOKUP($B$1,Inventory!$A$1:$BC$500,35,FALSE),IF(AND(B571=$G$7,pmt_timing="End"),VLOOKUP($B$1,Inventory!$A$1:$BC$500,35,FALSE),0))</f>
        <v>#N/A</v>
      </c>
      <c r="E571" s="78">
        <v>0</v>
      </c>
      <c r="F571" s="78">
        <v>0</v>
      </c>
      <c r="G571" s="78">
        <v>0</v>
      </c>
      <c r="H571" s="78">
        <v>0</v>
      </c>
      <c r="I571" s="78">
        <v>0</v>
      </c>
      <c r="J571" s="78">
        <v>0</v>
      </c>
      <c r="K571" s="78">
        <v>0</v>
      </c>
      <c r="L571" s="36" t="e">
        <f t="shared" ca="1" si="112"/>
        <v>#N/A</v>
      </c>
      <c r="M571" s="37" t="e">
        <f t="shared" ca="1" si="110"/>
        <v>#N/A</v>
      </c>
      <c r="N571" s="37" t="e">
        <f t="shared" ca="1" si="111"/>
        <v>#N/A</v>
      </c>
      <c r="P571" s="35" t="e">
        <f t="shared" ca="1" si="119"/>
        <v>#N/A</v>
      </c>
      <c r="Q571" s="59" t="e">
        <f t="shared" ca="1" si="113"/>
        <v>#N/A</v>
      </c>
      <c r="R571" s="44" t="e">
        <f t="shared" ca="1" si="114"/>
        <v>#N/A</v>
      </c>
      <c r="S571" s="37" t="e">
        <f ca="1">IF(P571="","",IF(P571="Total",SUM($S$19:S570),VLOOKUP($P571,$B$12:$L635,11,FALSE)))</f>
        <v>#N/A</v>
      </c>
      <c r="T571" s="44" t="e">
        <f ca="1">IF(payfreq="Annually",IF(P571="","",IF(P571="Total",SUM($T$19:T570),Adj_Rate*$R571)),IF(payfreq="Semiannually",IF(P571="","",IF(P571="Total",SUM($T$19:T570),Adj_Rate/2*$R571)),IF(payfreq="Quarterly",IF(P571="","",IF(P571="Total",SUM($T$19:T570),Adj_Rate/4*$R571)),IF(payfreq="Monthly",IF(P571="","",IF(P571="Total",SUM($T$19:T570),Adj_Rate/12*$R571)),""))))</f>
        <v>#N/A</v>
      </c>
      <c r="U571" s="37" t="e">
        <f t="shared" ca="1" si="115"/>
        <v>#N/A</v>
      </c>
      <c r="V571" s="44" t="e">
        <f t="shared" ca="1" si="116"/>
        <v>#N/A</v>
      </c>
    </row>
    <row r="572" spans="2:22">
      <c r="B572" s="38" t="e">
        <f t="shared" ca="1" si="117"/>
        <v>#N/A</v>
      </c>
      <c r="C572" s="77" t="e">
        <f t="shared" ca="1" si="118"/>
        <v>#N/A</v>
      </c>
      <c r="D572" s="78" t="e">
        <f ca="1">+IF(AND(B572&lt;$G$7),VLOOKUP($B$1,Inventory!$A$1:$BC$500,35,FALSE),IF(AND(B572=$G$7,pmt_timing="End"),VLOOKUP($B$1,Inventory!$A$1:$BC$500,35,FALSE),0))</f>
        <v>#N/A</v>
      </c>
      <c r="E572" s="78">
        <v>0</v>
      </c>
      <c r="F572" s="78">
        <v>0</v>
      </c>
      <c r="G572" s="78">
        <v>0</v>
      </c>
      <c r="H572" s="78">
        <v>0</v>
      </c>
      <c r="I572" s="78">
        <v>0</v>
      </c>
      <c r="J572" s="78">
        <v>0</v>
      </c>
      <c r="K572" s="78">
        <v>0</v>
      </c>
      <c r="L572" s="36" t="e">
        <f t="shared" ca="1" si="112"/>
        <v>#N/A</v>
      </c>
      <c r="M572" s="37" t="e">
        <f t="shared" ca="1" si="110"/>
        <v>#N/A</v>
      </c>
      <c r="N572" s="37" t="e">
        <f t="shared" ca="1" si="111"/>
        <v>#N/A</v>
      </c>
      <c r="P572" s="35" t="e">
        <f t="shared" ca="1" si="119"/>
        <v>#N/A</v>
      </c>
      <c r="Q572" s="59" t="e">
        <f t="shared" ca="1" si="113"/>
        <v>#N/A</v>
      </c>
      <c r="R572" s="44" t="e">
        <f t="shared" ca="1" si="114"/>
        <v>#N/A</v>
      </c>
      <c r="S572" s="37" t="e">
        <f ca="1">IF(P572="","",IF(P572="Total",SUM($S$19:S571),VLOOKUP($P572,$B$12:$L636,11,FALSE)))</f>
        <v>#N/A</v>
      </c>
      <c r="T572" s="44" t="e">
        <f ca="1">IF(payfreq="Annually",IF(P572="","",IF(P572="Total",SUM($T$19:T571),Adj_Rate*$R572)),IF(payfreq="Semiannually",IF(P572="","",IF(P572="Total",SUM($T$19:T571),Adj_Rate/2*$R572)),IF(payfreq="Quarterly",IF(P572="","",IF(P572="Total",SUM($T$19:T571),Adj_Rate/4*$R572)),IF(payfreq="Monthly",IF(P572="","",IF(P572="Total",SUM($T$19:T571),Adj_Rate/12*$R572)),""))))</f>
        <v>#N/A</v>
      </c>
      <c r="U572" s="37" t="e">
        <f t="shared" ca="1" si="115"/>
        <v>#N/A</v>
      </c>
      <c r="V572" s="44" t="e">
        <f t="shared" ca="1" si="116"/>
        <v>#N/A</v>
      </c>
    </row>
    <row r="573" spans="2:22">
      <c r="B573" s="38" t="e">
        <f t="shared" ca="1" si="117"/>
        <v>#N/A</v>
      </c>
      <c r="C573" s="77" t="e">
        <f t="shared" ca="1" si="118"/>
        <v>#N/A</v>
      </c>
      <c r="D573" s="78" t="e">
        <f ca="1">+IF(AND(B573&lt;$G$7),VLOOKUP($B$1,Inventory!$A$1:$BC$500,35,FALSE),IF(AND(B573=$G$7,pmt_timing="End"),VLOOKUP($B$1,Inventory!$A$1:$BC$500,35,FALSE),0))</f>
        <v>#N/A</v>
      </c>
      <c r="E573" s="78">
        <v>0</v>
      </c>
      <c r="F573" s="78">
        <v>0</v>
      </c>
      <c r="G573" s="78">
        <v>0</v>
      </c>
      <c r="H573" s="78">
        <v>0</v>
      </c>
      <c r="I573" s="78">
        <v>0</v>
      </c>
      <c r="J573" s="78">
        <v>0</v>
      </c>
      <c r="K573" s="78">
        <v>0</v>
      </c>
      <c r="L573" s="36" t="e">
        <f t="shared" ca="1" si="112"/>
        <v>#N/A</v>
      </c>
      <c r="M573" s="37" t="e">
        <f t="shared" ca="1" si="110"/>
        <v>#N/A</v>
      </c>
      <c r="N573" s="37" t="e">
        <f t="shared" ca="1" si="111"/>
        <v>#N/A</v>
      </c>
      <c r="P573" s="35" t="e">
        <f t="shared" ca="1" si="119"/>
        <v>#N/A</v>
      </c>
      <c r="Q573" s="59" t="e">
        <f t="shared" ca="1" si="113"/>
        <v>#N/A</v>
      </c>
      <c r="R573" s="44" t="e">
        <f t="shared" ca="1" si="114"/>
        <v>#N/A</v>
      </c>
      <c r="S573" s="37" t="e">
        <f ca="1">IF(P573="","",IF(P573="Total",SUM($S$19:S572),VLOOKUP($P573,$B$12:$L637,11,FALSE)))</f>
        <v>#N/A</v>
      </c>
      <c r="T573" s="44" t="e">
        <f ca="1">IF(payfreq="Annually",IF(P573="","",IF(P573="Total",SUM($T$19:T572),Adj_Rate*$R573)),IF(payfreq="Semiannually",IF(P573="","",IF(P573="Total",SUM($T$19:T572),Adj_Rate/2*$R573)),IF(payfreq="Quarterly",IF(P573="","",IF(P573="Total",SUM($T$19:T572),Adj_Rate/4*$R573)),IF(payfreq="Monthly",IF(P573="","",IF(P573="Total",SUM($T$19:T572),Adj_Rate/12*$R573)),""))))</f>
        <v>#N/A</v>
      </c>
      <c r="U573" s="37" t="e">
        <f t="shared" ca="1" si="115"/>
        <v>#N/A</v>
      </c>
      <c r="V573" s="44" t="e">
        <f t="shared" ca="1" si="116"/>
        <v>#N/A</v>
      </c>
    </row>
    <row r="574" spans="2:22">
      <c r="B574" s="38" t="e">
        <f t="shared" ca="1" si="117"/>
        <v>#N/A</v>
      </c>
      <c r="C574" s="77" t="e">
        <f t="shared" ca="1" si="118"/>
        <v>#N/A</v>
      </c>
      <c r="D574" s="78" t="e">
        <f ca="1">+IF(AND(B574&lt;$G$7),VLOOKUP($B$1,Inventory!$A$1:$BC$500,35,FALSE),IF(AND(B574=$G$7,pmt_timing="End"),VLOOKUP($B$1,Inventory!$A$1:$BC$500,35,FALSE),0))</f>
        <v>#N/A</v>
      </c>
      <c r="E574" s="78">
        <v>0</v>
      </c>
      <c r="F574" s="78">
        <v>0</v>
      </c>
      <c r="G574" s="78">
        <v>0</v>
      </c>
      <c r="H574" s="78">
        <v>0</v>
      </c>
      <c r="I574" s="78">
        <v>0</v>
      </c>
      <c r="J574" s="78">
        <v>0</v>
      </c>
      <c r="K574" s="78">
        <v>0</v>
      </c>
      <c r="L574" s="36" t="e">
        <f t="shared" ca="1" si="112"/>
        <v>#N/A</v>
      </c>
      <c r="M574" s="37" t="e">
        <f t="shared" ca="1" si="110"/>
        <v>#N/A</v>
      </c>
      <c r="N574" s="37" t="e">
        <f t="shared" ca="1" si="111"/>
        <v>#N/A</v>
      </c>
      <c r="P574" s="35" t="e">
        <f t="shared" ca="1" si="119"/>
        <v>#N/A</v>
      </c>
      <c r="Q574" s="59" t="e">
        <f t="shared" ca="1" si="113"/>
        <v>#N/A</v>
      </c>
      <c r="R574" s="44" t="e">
        <f t="shared" ca="1" si="114"/>
        <v>#N/A</v>
      </c>
      <c r="S574" s="37" t="e">
        <f ca="1">IF(P574="","",IF(P574="Total",SUM($S$19:S573),VLOOKUP($P574,$B$12:$L638,11,FALSE)))</f>
        <v>#N/A</v>
      </c>
      <c r="T574" s="44" t="e">
        <f ca="1">IF(payfreq="Annually",IF(P574="","",IF(P574="Total",SUM($T$19:T573),Adj_Rate*$R574)),IF(payfreq="Semiannually",IF(P574="","",IF(P574="Total",SUM($T$19:T573),Adj_Rate/2*$R574)),IF(payfreq="Quarterly",IF(P574="","",IF(P574="Total",SUM($T$19:T573),Adj_Rate/4*$R574)),IF(payfreq="Monthly",IF(P574="","",IF(P574="Total",SUM($T$19:T573),Adj_Rate/12*$R574)),""))))</f>
        <v>#N/A</v>
      </c>
      <c r="U574" s="37" t="e">
        <f t="shared" ca="1" si="115"/>
        <v>#N/A</v>
      </c>
      <c r="V574" s="44" t="e">
        <f t="shared" ca="1" si="116"/>
        <v>#N/A</v>
      </c>
    </row>
    <row r="575" spans="2:22">
      <c r="B575" s="38" t="e">
        <f t="shared" ca="1" si="117"/>
        <v>#N/A</v>
      </c>
      <c r="C575" s="77" t="e">
        <f t="shared" ca="1" si="118"/>
        <v>#N/A</v>
      </c>
      <c r="D575" s="78" t="e">
        <f ca="1">+IF(AND(B575&lt;$G$7),VLOOKUP($B$1,Inventory!$A$1:$BC$500,35,FALSE),IF(AND(B575=$G$7,pmt_timing="End"),VLOOKUP($B$1,Inventory!$A$1:$BC$500,35,FALSE),0))</f>
        <v>#N/A</v>
      </c>
      <c r="E575" s="78">
        <v>0</v>
      </c>
      <c r="F575" s="78">
        <v>0</v>
      </c>
      <c r="G575" s="78">
        <v>0</v>
      </c>
      <c r="H575" s="78">
        <v>0</v>
      </c>
      <c r="I575" s="78">
        <v>0</v>
      </c>
      <c r="J575" s="78">
        <v>0</v>
      </c>
      <c r="K575" s="78">
        <v>0</v>
      </c>
      <c r="L575" s="36" t="e">
        <f t="shared" ca="1" si="112"/>
        <v>#N/A</v>
      </c>
      <c r="M575" s="37" t="e">
        <f t="shared" ca="1" si="110"/>
        <v>#N/A</v>
      </c>
      <c r="N575" s="37" t="e">
        <f t="shared" ca="1" si="111"/>
        <v>#N/A</v>
      </c>
      <c r="P575" s="35" t="e">
        <f t="shared" ca="1" si="119"/>
        <v>#N/A</v>
      </c>
      <c r="Q575" s="59" t="e">
        <f t="shared" ca="1" si="113"/>
        <v>#N/A</v>
      </c>
      <c r="R575" s="44" t="e">
        <f t="shared" ca="1" si="114"/>
        <v>#N/A</v>
      </c>
      <c r="S575" s="37" t="e">
        <f ca="1">IF(P575="","",IF(P575="Total",SUM($S$19:S574),VLOOKUP($P575,$B$12:$L639,11,FALSE)))</f>
        <v>#N/A</v>
      </c>
      <c r="T575" s="44" t="e">
        <f ca="1">IF(payfreq="Annually",IF(P575="","",IF(P575="Total",SUM($T$19:T574),Adj_Rate*$R575)),IF(payfreq="Semiannually",IF(P575="","",IF(P575="Total",SUM($T$19:T574),Adj_Rate/2*$R575)),IF(payfreq="Quarterly",IF(P575="","",IF(P575="Total",SUM($T$19:T574),Adj_Rate/4*$R575)),IF(payfreq="Monthly",IF(P575="","",IF(P575="Total",SUM($T$19:T574),Adj_Rate/12*$R575)),""))))</f>
        <v>#N/A</v>
      </c>
      <c r="U575" s="37" t="e">
        <f t="shared" ca="1" si="115"/>
        <v>#N/A</v>
      </c>
      <c r="V575" s="44" t="e">
        <f t="shared" ca="1" si="116"/>
        <v>#N/A</v>
      </c>
    </row>
    <row r="576" spans="2:22">
      <c r="B576" s="38" t="e">
        <f t="shared" ca="1" si="117"/>
        <v>#N/A</v>
      </c>
      <c r="C576" s="77" t="e">
        <f t="shared" ca="1" si="118"/>
        <v>#N/A</v>
      </c>
      <c r="D576" s="78" t="e">
        <f ca="1">+IF(AND(B576&lt;$G$7),VLOOKUP($B$1,Inventory!$A$1:$BC$500,35,FALSE),IF(AND(B576=$G$7,pmt_timing="End"),VLOOKUP($B$1,Inventory!$A$1:$BC$500,35,FALSE),0))</f>
        <v>#N/A</v>
      </c>
      <c r="E576" s="78">
        <v>0</v>
      </c>
      <c r="F576" s="78">
        <v>0</v>
      </c>
      <c r="G576" s="78">
        <v>0</v>
      </c>
      <c r="H576" s="78">
        <v>0</v>
      </c>
      <c r="I576" s="78">
        <v>0</v>
      </c>
      <c r="J576" s="78">
        <v>0</v>
      </c>
      <c r="K576" s="78">
        <v>0</v>
      </c>
      <c r="L576" s="36" t="e">
        <f t="shared" ca="1" si="112"/>
        <v>#N/A</v>
      </c>
      <c r="M576" s="37" t="e">
        <f t="shared" ca="1" si="110"/>
        <v>#N/A</v>
      </c>
      <c r="N576" s="37" t="e">
        <f t="shared" ca="1" si="111"/>
        <v>#N/A</v>
      </c>
      <c r="P576" s="35" t="e">
        <f t="shared" ca="1" si="119"/>
        <v>#N/A</v>
      </c>
      <c r="Q576" s="59" t="e">
        <f t="shared" ca="1" si="113"/>
        <v>#N/A</v>
      </c>
      <c r="R576" s="44" t="e">
        <f t="shared" ca="1" si="114"/>
        <v>#N/A</v>
      </c>
      <c r="S576" s="37" t="e">
        <f ca="1">IF(P576="","",IF(P576="Total",SUM($S$19:S575),VLOOKUP($P576,$B$12:$L640,11,FALSE)))</f>
        <v>#N/A</v>
      </c>
      <c r="T576" s="44" t="e">
        <f ca="1">IF(payfreq="Annually",IF(P576="","",IF(P576="Total",SUM($T$19:T575),Adj_Rate*$R576)),IF(payfreq="Semiannually",IF(P576="","",IF(P576="Total",SUM($T$19:T575),Adj_Rate/2*$R576)),IF(payfreq="Quarterly",IF(P576="","",IF(P576="Total",SUM($T$19:T575),Adj_Rate/4*$R576)),IF(payfreq="Monthly",IF(P576="","",IF(P576="Total",SUM($T$19:T575),Adj_Rate/12*$R576)),""))))</f>
        <v>#N/A</v>
      </c>
      <c r="U576" s="37" t="e">
        <f t="shared" ca="1" si="115"/>
        <v>#N/A</v>
      </c>
      <c r="V576" s="44" t="e">
        <f t="shared" ca="1" si="116"/>
        <v>#N/A</v>
      </c>
    </row>
    <row r="577" spans="2:22">
      <c r="B577" s="38" t="e">
        <f t="shared" ca="1" si="117"/>
        <v>#N/A</v>
      </c>
      <c r="C577" s="77" t="e">
        <f t="shared" ca="1" si="118"/>
        <v>#N/A</v>
      </c>
      <c r="D577" s="78" t="e">
        <f ca="1">+IF(AND(B577&lt;$G$7),VLOOKUP($B$1,Inventory!$A$1:$BC$500,35,FALSE),IF(AND(B577=$G$7,pmt_timing="End"),VLOOKUP($B$1,Inventory!$A$1:$BC$500,35,FALSE),0))</f>
        <v>#N/A</v>
      </c>
      <c r="E577" s="78">
        <v>0</v>
      </c>
      <c r="F577" s="78">
        <v>0</v>
      </c>
      <c r="G577" s="78">
        <v>0</v>
      </c>
      <c r="H577" s="78">
        <v>0</v>
      </c>
      <c r="I577" s="78">
        <v>0</v>
      </c>
      <c r="J577" s="78">
        <v>0</v>
      </c>
      <c r="K577" s="78">
        <v>0</v>
      </c>
      <c r="L577" s="36" t="e">
        <f t="shared" ca="1" si="112"/>
        <v>#N/A</v>
      </c>
      <c r="M577" s="37" t="e">
        <f t="shared" ca="1" si="110"/>
        <v>#N/A</v>
      </c>
      <c r="N577" s="37" t="e">
        <f t="shared" ca="1" si="111"/>
        <v>#N/A</v>
      </c>
      <c r="P577" s="35" t="e">
        <f t="shared" ca="1" si="119"/>
        <v>#N/A</v>
      </c>
      <c r="Q577" s="59" t="e">
        <f t="shared" ca="1" si="113"/>
        <v>#N/A</v>
      </c>
      <c r="R577" s="44" t="e">
        <f t="shared" ca="1" si="114"/>
        <v>#N/A</v>
      </c>
      <c r="S577" s="37" t="e">
        <f ca="1">IF(P577="","",IF(P577="Total",SUM($S$19:S576),VLOOKUP($P577,$B$12:$L641,11,FALSE)))</f>
        <v>#N/A</v>
      </c>
      <c r="T577" s="44" t="e">
        <f ca="1">IF(payfreq="Annually",IF(P577="","",IF(P577="Total",SUM($T$19:T576),Adj_Rate*$R577)),IF(payfreq="Semiannually",IF(P577="","",IF(P577="Total",SUM($T$19:T576),Adj_Rate/2*$R577)),IF(payfreq="Quarterly",IF(P577="","",IF(P577="Total",SUM($T$19:T576),Adj_Rate/4*$R577)),IF(payfreq="Monthly",IF(P577="","",IF(P577="Total",SUM($T$19:T576),Adj_Rate/12*$R577)),""))))</f>
        <v>#N/A</v>
      </c>
      <c r="U577" s="37" t="e">
        <f t="shared" ca="1" si="115"/>
        <v>#N/A</v>
      </c>
      <c r="V577" s="44" t="e">
        <f t="shared" ca="1" si="116"/>
        <v>#N/A</v>
      </c>
    </row>
    <row r="578" spans="2:22">
      <c r="B578" s="38" t="e">
        <f t="shared" ca="1" si="117"/>
        <v>#N/A</v>
      </c>
      <c r="C578" s="77" t="e">
        <f t="shared" ca="1" si="118"/>
        <v>#N/A</v>
      </c>
      <c r="D578" s="78" t="e">
        <f ca="1">+IF(AND(B578&lt;$G$7),VLOOKUP($B$1,Inventory!$A$1:$BC$500,35,FALSE),IF(AND(B578=$G$7,pmt_timing="End"),VLOOKUP($B$1,Inventory!$A$1:$BC$500,35,FALSE),0))</f>
        <v>#N/A</v>
      </c>
      <c r="E578" s="78">
        <v>0</v>
      </c>
      <c r="F578" s="78">
        <v>0</v>
      </c>
      <c r="G578" s="78">
        <v>0</v>
      </c>
      <c r="H578" s="78">
        <v>0</v>
      </c>
      <c r="I578" s="78">
        <v>0</v>
      </c>
      <c r="J578" s="78">
        <v>0</v>
      </c>
      <c r="K578" s="78">
        <v>0</v>
      </c>
      <c r="L578" s="36" t="e">
        <f t="shared" ca="1" si="112"/>
        <v>#N/A</v>
      </c>
      <c r="M578" s="37" t="e">
        <f t="shared" ca="1" si="110"/>
        <v>#N/A</v>
      </c>
      <c r="N578" s="37" t="e">
        <f t="shared" ca="1" si="111"/>
        <v>#N/A</v>
      </c>
      <c r="P578" s="35" t="e">
        <f t="shared" ca="1" si="119"/>
        <v>#N/A</v>
      </c>
      <c r="Q578" s="59" t="e">
        <f t="shared" ca="1" si="113"/>
        <v>#N/A</v>
      </c>
      <c r="R578" s="44" t="e">
        <f t="shared" ca="1" si="114"/>
        <v>#N/A</v>
      </c>
      <c r="S578" s="37" t="e">
        <f ca="1">IF(P578="","",IF(P578="Total",SUM($S$19:S577),VLOOKUP($P578,$B$12:$L642,11,FALSE)))</f>
        <v>#N/A</v>
      </c>
      <c r="T578" s="44" t="e">
        <f ca="1">IF(payfreq="Annually",IF(P578="","",IF(P578="Total",SUM($T$19:T577),Adj_Rate*$R578)),IF(payfreq="Semiannually",IF(P578="","",IF(P578="Total",SUM($T$19:T577),Adj_Rate/2*$R578)),IF(payfreq="Quarterly",IF(P578="","",IF(P578="Total",SUM($T$19:T577),Adj_Rate/4*$R578)),IF(payfreq="Monthly",IF(P578="","",IF(P578="Total",SUM($T$19:T577),Adj_Rate/12*$R578)),""))))</f>
        <v>#N/A</v>
      </c>
      <c r="U578" s="37" t="e">
        <f t="shared" ca="1" si="115"/>
        <v>#N/A</v>
      </c>
      <c r="V578" s="44" t="e">
        <f t="shared" ca="1" si="116"/>
        <v>#N/A</v>
      </c>
    </row>
    <row r="579" spans="2:22">
      <c r="B579" s="38" t="e">
        <f t="shared" ca="1" si="117"/>
        <v>#N/A</v>
      </c>
      <c r="C579" s="77" t="e">
        <f t="shared" ca="1" si="118"/>
        <v>#N/A</v>
      </c>
      <c r="D579" s="78" t="e">
        <f ca="1">+IF(AND(B579&lt;$G$7),VLOOKUP($B$1,Inventory!$A$1:$BC$500,35,FALSE),IF(AND(B579=$G$7,pmt_timing="End"),VLOOKUP($B$1,Inventory!$A$1:$BC$500,35,FALSE),0))</f>
        <v>#N/A</v>
      </c>
      <c r="E579" s="78">
        <v>0</v>
      </c>
      <c r="F579" s="78">
        <v>0</v>
      </c>
      <c r="G579" s="78">
        <v>0</v>
      </c>
      <c r="H579" s="78">
        <v>0</v>
      </c>
      <c r="I579" s="78">
        <v>0</v>
      </c>
      <c r="J579" s="78">
        <v>0</v>
      </c>
      <c r="K579" s="78">
        <v>0</v>
      </c>
      <c r="L579" s="36" t="e">
        <f t="shared" ca="1" si="112"/>
        <v>#N/A</v>
      </c>
      <c r="M579" s="37" t="e">
        <f t="shared" ca="1" si="110"/>
        <v>#N/A</v>
      </c>
      <c r="N579" s="37" t="e">
        <f t="shared" ca="1" si="111"/>
        <v>#N/A</v>
      </c>
      <c r="P579" s="35" t="e">
        <f t="shared" ca="1" si="119"/>
        <v>#N/A</v>
      </c>
      <c r="Q579" s="59" t="e">
        <f t="shared" ca="1" si="113"/>
        <v>#N/A</v>
      </c>
      <c r="R579" s="44" t="e">
        <f t="shared" ca="1" si="114"/>
        <v>#N/A</v>
      </c>
      <c r="S579" s="37" t="e">
        <f ca="1">IF(P579="","",IF(P579="Total",SUM($S$19:S578),VLOOKUP($P579,$B$12:$L643,11,FALSE)))</f>
        <v>#N/A</v>
      </c>
      <c r="T579" s="44" t="e">
        <f ca="1">IF(payfreq="Annually",IF(P579="","",IF(P579="Total",SUM($T$19:T578),Adj_Rate*$R579)),IF(payfreq="Semiannually",IF(P579="","",IF(P579="Total",SUM($T$19:T578),Adj_Rate/2*$R579)),IF(payfreq="Quarterly",IF(P579="","",IF(P579="Total",SUM($T$19:T578),Adj_Rate/4*$R579)),IF(payfreq="Monthly",IF(P579="","",IF(P579="Total",SUM($T$19:T578),Adj_Rate/12*$R579)),""))))</f>
        <v>#N/A</v>
      </c>
      <c r="U579" s="37" t="e">
        <f t="shared" ca="1" si="115"/>
        <v>#N/A</v>
      </c>
      <c r="V579" s="44" t="e">
        <f t="shared" ca="1" si="116"/>
        <v>#N/A</v>
      </c>
    </row>
    <row r="580" spans="2:22">
      <c r="B580" s="38" t="e">
        <f t="shared" ca="1" si="117"/>
        <v>#N/A</v>
      </c>
      <c r="C580" s="77" t="e">
        <f t="shared" ca="1" si="118"/>
        <v>#N/A</v>
      </c>
      <c r="D580" s="78" t="e">
        <f ca="1">+IF(AND(B580&lt;$G$7),VLOOKUP($B$1,Inventory!$A$1:$BC$500,35,FALSE),IF(AND(B580=$G$7,pmt_timing="End"),VLOOKUP($B$1,Inventory!$A$1:$BC$500,35,FALSE),0))</f>
        <v>#N/A</v>
      </c>
      <c r="E580" s="78">
        <v>0</v>
      </c>
      <c r="F580" s="78">
        <v>0</v>
      </c>
      <c r="G580" s="78">
        <v>0</v>
      </c>
      <c r="H580" s="78">
        <v>0</v>
      </c>
      <c r="I580" s="78">
        <v>0</v>
      </c>
      <c r="J580" s="78">
        <v>0</v>
      </c>
      <c r="K580" s="78">
        <v>0</v>
      </c>
      <c r="L580" s="36" t="e">
        <f t="shared" ca="1" si="112"/>
        <v>#N/A</v>
      </c>
      <c r="M580" s="37" t="e">
        <f t="shared" ca="1" si="110"/>
        <v>#N/A</v>
      </c>
      <c r="N580" s="37" t="e">
        <f t="shared" ca="1" si="111"/>
        <v>#N/A</v>
      </c>
      <c r="P580" s="35" t="e">
        <f t="shared" ca="1" si="119"/>
        <v>#N/A</v>
      </c>
      <c r="Q580" s="59" t="e">
        <f t="shared" ca="1" si="113"/>
        <v>#N/A</v>
      </c>
      <c r="R580" s="44" t="e">
        <f t="shared" ca="1" si="114"/>
        <v>#N/A</v>
      </c>
      <c r="S580" s="37" t="e">
        <f ca="1">IF(P580="","",IF(P580="Total",SUM($S$19:S579),VLOOKUP($P580,$B$12:$L644,11,FALSE)))</f>
        <v>#N/A</v>
      </c>
      <c r="T580" s="44" t="e">
        <f ca="1">IF(payfreq="Annually",IF(P580="","",IF(P580="Total",SUM($T$19:T579),Adj_Rate*$R580)),IF(payfreq="Semiannually",IF(P580="","",IF(P580="Total",SUM($T$19:T579),Adj_Rate/2*$R580)),IF(payfreq="Quarterly",IF(P580="","",IF(P580="Total",SUM($T$19:T579),Adj_Rate/4*$R580)),IF(payfreq="Monthly",IF(P580="","",IF(P580="Total",SUM($T$19:T579),Adj_Rate/12*$R580)),""))))</f>
        <v>#N/A</v>
      </c>
      <c r="U580" s="37" t="e">
        <f t="shared" ca="1" si="115"/>
        <v>#N/A</v>
      </c>
      <c r="V580" s="44" t="e">
        <f t="shared" ca="1" si="116"/>
        <v>#N/A</v>
      </c>
    </row>
    <row r="581" spans="2:22">
      <c r="B581" s="38" t="e">
        <f t="shared" ca="1" si="117"/>
        <v>#N/A</v>
      </c>
      <c r="C581" s="77" t="e">
        <f t="shared" ca="1" si="118"/>
        <v>#N/A</v>
      </c>
      <c r="D581" s="78" t="e">
        <f ca="1">+IF(AND(B581&lt;$G$7),VLOOKUP($B$1,Inventory!$A$1:$BC$500,35,FALSE),IF(AND(B581=$G$7,pmt_timing="End"),VLOOKUP($B$1,Inventory!$A$1:$BC$500,35,FALSE),0))</f>
        <v>#N/A</v>
      </c>
      <c r="E581" s="78">
        <v>0</v>
      </c>
      <c r="F581" s="78">
        <v>0</v>
      </c>
      <c r="G581" s="78">
        <v>0</v>
      </c>
      <c r="H581" s="78">
        <v>0</v>
      </c>
      <c r="I581" s="78">
        <v>0</v>
      </c>
      <c r="J581" s="78">
        <v>0</v>
      </c>
      <c r="K581" s="78">
        <v>0</v>
      </c>
      <c r="L581" s="36" t="e">
        <f t="shared" ca="1" si="112"/>
        <v>#N/A</v>
      </c>
      <c r="M581" s="37" t="e">
        <f t="shared" ca="1" si="110"/>
        <v>#N/A</v>
      </c>
      <c r="N581" s="37" t="e">
        <f t="shared" ca="1" si="111"/>
        <v>#N/A</v>
      </c>
      <c r="P581" s="35" t="e">
        <f t="shared" ca="1" si="119"/>
        <v>#N/A</v>
      </c>
      <c r="Q581" s="59" t="e">
        <f t="shared" ca="1" si="113"/>
        <v>#N/A</v>
      </c>
      <c r="R581" s="44" t="e">
        <f t="shared" ca="1" si="114"/>
        <v>#N/A</v>
      </c>
      <c r="S581" s="37" t="e">
        <f ca="1">IF(P581="","",IF(P581="Total",SUM($S$19:S580),VLOOKUP($P581,$B$12:$L645,11,FALSE)))</f>
        <v>#N/A</v>
      </c>
      <c r="T581" s="44" t="e">
        <f ca="1">IF(payfreq="Annually",IF(P581="","",IF(P581="Total",SUM($T$19:T580),Adj_Rate*$R581)),IF(payfreq="Semiannually",IF(P581="","",IF(P581="Total",SUM($T$19:T580),Adj_Rate/2*$R581)),IF(payfreq="Quarterly",IF(P581="","",IF(P581="Total",SUM($T$19:T580),Adj_Rate/4*$R581)),IF(payfreq="Monthly",IF(P581="","",IF(P581="Total",SUM($T$19:T580),Adj_Rate/12*$R581)),""))))</f>
        <v>#N/A</v>
      </c>
      <c r="U581" s="37" t="e">
        <f t="shared" ca="1" si="115"/>
        <v>#N/A</v>
      </c>
      <c r="V581" s="44" t="e">
        <f t="shared" ca="1" si="116"/>
        <v>#N/A</v>
      </c>
    </row>
    <row r="582" spans="2:22">
      <c r="B582" s="38" t="e">
        <f t="shared" ca="1" si="117"/>
        <v>#N/A</v>
      </c>
      <c r="C582" s="77" t="e">
        <f t="shared" ca="1" si="118"/>
        <v>#N/A</v>
      </c>
      <c r="D582" s="78" t="e">
        <f ca="1">+IF(AND(B582&lt;$G$7),VLOOKUP($B$1,Inventory!$A$1:$BC$500,35,FALSE),IF(AND(B582=$G$7,pmt_timing="End"),VLOOKUP($B$1,Inventory!$A$1:$BC$500,35,FALSE),0))</f>
        <v>#N/A</v>
      </c>
      <c r="E582" s="78">
        <v>0</v>
      </c>
      <c r="F582" s="78">
        <v>0</v>
      </c>
      <c r="G582" s="78">
        <v>0</v>
      </c>
      <c r="H582" s="78">
        <v>0</v>
      </c>
      <c r="I582" s="78">
        <v>0</v>
      </c>
      <c r="J582" s="78">
        <v>0</v>
      </c>
      <c r="K582" s="78">
        <v>0</v>
      </c>
      <c r="L582" s="36" t="e">
        <f t="shared" ca="1" si="112"/>
        <v>#N/A</v>
      </c>
      <c r="M582" s="37" t="e">
        <f t="shared" ca="1" si="110"/>
        <v>#N/A</v>
      </c>
      <c r="N582" s="37" t="e">
        <f t="shared" ca="1" si="111"/>
        <v>#N/A</v>
      </c>
      <c r="P582" s="35" t="e">
        <f t="shared" ca="1" si="119"/>
        <v>#N/A</v>
      </c>
      <c r="Q582" s="59" t="e">
        <f t="shared" ca="1" si="113"/>
        <v>#N/A</v>
      </c>
      <c r="R582" s="44" t="e">
        <f t="shared" ca="1" si="114"/>
        <v>#N/A</v>
      </c>
      <c r="S582" s="37" t="e">
        <f ca="1">IF(P582="","",IF(P582="Total",SUM($S$19:S581),VLOOKUP($P582,$B$12:$L646,11,FALSE)))</f>
        <v>#N/A</v>
      </c>
      <c r="T582" s="44" t="e">
        <f ca="1">IF(payfreq="Annually",IF(P582="","",IF(P582="Total",SUM($T$19:T581),Adj_Rate*$R582)),IF(payfreq="Semiannually",IF(P582="","",IF(P582="Total",SUM($T$19:T581),Adj_Rate/2*$R582)),IF(payfreq="Quarterly",IF(P582="","",IF(P582="Total",SUM($T$19:T581),Adj_Rate/4*$R582)),IF(payfreq="Monthly",IF(P582="","",IF(P582="Total",SUM($T$19:T581),Adj_Rate/12*$R582)),""))))</f>
        <v>#N/A</v>
      </c>
      <c r="U582" s="37" t="e">
        <f t="shared" ca="1" si="115"/>
        <v>#N/A</v>
      </c>
      <c r="V582" s="44" t="e">
        <f t="shared" ca="1" si="116"/>
        <v>#N/A</v>
      </c>
    </row>
    <row r="583" spans="2:22">
      <c r="B583" s="38" t="e">
        <f t="shared" ca="1" si="117"/>
        <v>#N/A</v>
      </c>
      <c r="C583" s="77" t="e">
        <f t="shared" ca="1" si="118"/>
        <v>#N/A</v>
      </c>
      <c r="D583" s="78" t="e">
        <f ca="1">+IF(AND(B583&lt;$G$7),VLOOKUP($B$1,Inventory!$A$1:$BC$500,35,FALSE),IF(AND(B583=$G$7,pmt_timing="End"),VLOOKUP($B$1,Inventory!$A$1:$BC$500,35,FALSE),0))</f>
        <v>#N/A</v>
      </c>
      <c r="E583" s="78">
        <v>0</v>
      </c>
      <c r="F583" s="78">
        <v>0</v>
      </c>
      <c r="G583" s="78">
        <v>0</v>
      </c>
      <c r="H583" s="78">
        <v>0</v>
      </c>
      <c r="I583" s="78">
        <v>0</v>
      </c>
      <c r="J583" s="78">
        <v>0</v>
      </c>
      <c r="K583" s="78">
        <v>0</v>
      </c>
      <c r="L583" s="36" t="e">
        <f t="shared" ca="1" si="112"/>
        <v>#N/A</v>
      </c>
      <c r="M583" s="37" t="e">
        <f t="shared" ca="1" si="110"/>
        <v>#N/A</v>
      </c>
      <c r="N583" s="37" t="e">
        <f t="shared" ca="1" si="111"/>
        <v>#N/A</v>
      </c>
      <c r="P583" s="35" t="e">
        <f t="shared" ca="1" si="119"/>
        <v>#N/A</v>
      </c>
      <c r="Q583" s="59" t="e">
        <f t="shared" ca="1" si="113"/>
        <v>#N/A</v>
      </c>
      <c r="R583" s="44" t="e">
        <f t="shared" ca="1" si="114"/>
        <v>#N/A</v>
      </c>
      <c r="S583" s="37" t="e">
        <f ca="1">IF(P583="","",IF(P583="Total",SUM($S$19:S582),VLOOKUP($P583,$B$12:$L647,11,FALSE)))</f>
        <v>#N/A</v>
      </c>
      <c r="T583" s="44" t="e">
        <f ca="1">IF(payfreq="Annually",IF(P583="","",IF(P583="Total",SUM($T$19:T582),Adj_Rate*$R583)),IF(payfreq="Semiannually",IF(P583="","",IF(P583="Total",SUM($T$19:T582),Adj_Rate/2*$R583)),IF(payfreq="Quarterly",IF(P583="","",IF(P583="Total",SUM($T$19:T582),Adj_Rate/4*$R583)),IF(payfreq="Monthly",IF(P583="","",IF(P583="Total",SUM($T$19:T582),Adj_Rate/12*$R583)),""))))</f>
        <v>#N/A</v>
      </c>
      <c r="U583" s="37" t="e">
        <f t="shared" ca="1" si="115"/>
        <v>#N/A</v>
      </c>
      <c r="V583" s="44" t="e">
        <f t="shared" ca="1" si="116"/>
        <v>#N/A</v>
      </c>
    </row>
    <row r="584" spans="2:22">
      <c r="B584" s="38" t="e">
        <f t="shared" ca="1" si="117"/>
        <v>#N/A</v>
      </c>
      <c r="C584" s="77" t="e">
        <f t="shared" ca="1" si="118"/>
        <v>#N/A</v>
      </c>
      <c r="D584" s="78" t="e">
        <f ca="1">+IF(AND(B584&lt;$G$7),VLOOKUP($B$1,Inventory!$A$1:$BC$500,35,FALSE),IF(AND(B584=$G$7,pmt_timing="End"),VLOOKUP($B$1,Inventory!$A$1:$BC$500,35,FALSE),0))</f>
        <v>#N/A</v>
      </c>
      <c r="E584" s="78">
        <v>0</v>
      </c>
      <c r="F584" s="78">
        <v>0</v>
      </c>
      <c r="G584" s="78">
        <v>0</v>
      </c>
      <c r="H584" s="78">
        <v>0</v>
      </c>
      <c r="I584" s="78">
        <v>0</v>
      </c>
      <c r="J584" s="78">
        <v>0</v>
      </c>
      <c r="K584" s="78">
        <v>0</v>
      </c>
      <c r="L584" s="36" t="e">
        <f t="shared" ca="1" si="112"/>
        <v>#N/A</v>
      </c>
      <c r="M584" s="37" t="e">
        <f t="shared" ca="1" si="110"/>
        <v>#N/A</v>
      </c>
      <c r="N584" s="37" t="e">
        <f t="shared" ca="1" si="111"/>
        <v>#N/A</v>
      </c>
      <c r="P584" s="35" t="e">
        <f t="shared" ca="1" si="119"/>
        <v>#N/A</v>
      </c>
      <c r="Q584" s="59" t="e">
        <f t="shared" ca="1" si="113"/>
        <v>#N/A</v>
      </c>
      <c r="R584" s="44" t="e">
        <f t="shared" ca="1" si="114"/>
        <v>#N/A</v>
      </c>
      <c r="S584" s="37" t="e">
        <f ca="1">IF(P584="","",IF(P584="Total",SUM($S$19:S583),VLOOKUP($P584,$B$12:$L648,11,FALSE)))</f>
        <v>#N/A</v>
      </c>
      <c r="T584" s="44" t="e">
        <f ca="1">IF(payfreq="Annually",IF(P584="","",IF(P584="Total",SUM($T$19:T583),Adj_Rate*$R584)),IF(payfreq="Semiannually",IF(P584="","",IF(P584="Total",SUM($T$19:T583),Adj_Rate/2*$R584)),IF(payfreq="Quarterly",IF(P584="","",IF(P584="Total",SUM($T$19:T583),Adj_Rate/4*$R584)),IF(payfreq="Monthly",IF(P584="","",IF(P584="Total",SUM($T$19:T583),Adj_Rate/12*$R584)),""))))</f>
        <v>#N/A</v>
      </c>
      <c r="U584" s="37" t="e">
        <f t="shared" ca="1" si="115"/>
        <v>#N/A</v>
      </c>
      <c r="V584" s="44" t="e">
        <f t="shared" ca="1" si="116"/>
        <v>#N/A</v>
      </c>
    </row>
    <row r="585" spans="2:22">
      <c r="B585" s="38" t="e">
        <f t="shared" ca="1" si="117"/>
        <v>#N/A</v>
      </c>
      <c r="C585" s="77" t="e">
        <f t="shared" ca="1" si="118"/>
        <v>#N/A</v>
      </c>
      <c r="D585" s="78" t="e">
        <f ca="1">+IF(AND(B585&lt;$G$7),VLOOKUP($B$1,Inventory!$A$1:$BC$500,35,FALSE),IF(AND(B585=$G$7,pmt_timing="End"),VLOOKUP($B$1,Inventory!$A$1:$BC$500,35,FALSE),0))</f>
        <v>#N/A</v>
      </c>
      <c r="E585" s="78">
        <v>0</v>
      </c>
      <c r="F585" s="78">
        <v>0</v>
      </c>
      <c r="G585" s="78">
        <v>0</v>
      </c>
      <c r="H585" s="78">
        <v>0</v>
      </c>
      <c r="I585" s="78">
        <v>0</v>
      </c>
      <c r="J585" s="78">
        <v>0</v>
      </c>
      <c r="K585" s="78">
        <v>0</v>
      </c>
      <c r="L585" s="36" t="e">
        <f t="shared" ca="1" si="112"/>
        <v>#N/A</v>
      </c>
      <c r="M585" s="37" t="e">
        <f t="shared" ca="1" si="110"/>
        <v>#N/A</v>
      </c>
      <c r="N585" s="37" t="e">
        <f t="shared" ca="1" si="111"/>
        <v>#N/A</v>
      </c>
      <c r="P585" s="35" t="e">
        <f t="shared" ca="1" si="119"/>
        <v>#N/A</v>
      </c>
      <c r="Q585" s="59" t="e">
        <f t="shared" ca="1" si="113"/>
        <v>#N/A</v>
      </c>
      <c r="R585" s="44" t="e">
        <f t="shared" ca="1" si="114"/>
        <v>#N/A</v>
      </c>
      <c r="S585" s="37" t="e">
        <f ca="1">IF(P585="","",IF(P585="Total",SUM($S$19:S584),VLOOKUP($P585,$B$12:$L649,11,FALSE)))</f>
        <v>#N/A</v>
      </c>
      <c r="T585" s="44" t="e">
        <f ca="1">IF(payfreq="Annually",IF(P585="","",IF(P585="Total",SUM($T$19:T584),Adj_Rate*$R585)),IF(payfreq="Semiannually",IF(P585="","",IF(P585="Total",SUM($T$19:T584),Adj_Rate/2*$R585)),IF(payfreq="Quarterly",IF(P585="","",IF(P585="Total",SUM($T$19:T584),Adj_Rate/4*$R585)),IF(payfreq="Monthly",IF(P585="","",IF(P585="Total",SUM($T$19:T584),Adj_Rate/12*$R585)),""))))</f>
        <v>#N/A</v>
      </c>
      <c r="U585" s="37" t="e">
        <f t="shared" ca="1" si="115"/>
        <v>#N/A</v>
      </c>
      <c r="V585" s="44" t="e">
        <f t="shared" ca="1" si="116"/>
        <v>#N/A</v>
      </c>
    </row>
    <row r="586" spans="2:22">
      <c r="B586" s="38" t="e">
        <f t="shared" ca="1" si="117"/>
        <v>#N/A</v>
      </c>
      <c r="C586" s="77" t="e">
        <f t="shared" ca="1" si="118"/>
        <v>#N/A</v>
      </c>
      <c r="D586" s="78" t="e">
        <f ca="1">+IF(AND(B586&lt;$G$7),VLOOKUP($B$1,Inventory!$A$1:$BC$500,35,FALSE),IF(AND(B586=$G$7,pmt_timing="End"),VLOOKUP($B$1,Inventory!$A$1:$BC$500,35,FALSE),0))</f>
        <v>#N/A</v>
      </c>
      <c r="E586" s="78">
        <v>0</v>
      </c>
      <c r="F586" s="78">
        <v>0</v>
      </c>
      <c r="G586" s="78">
        <v>0</v>
      </c>
      <c r="H586" s="78">
        <v>0</v>
      </c>
      <c r="I586" s="78">
        <v>0</v>
      </c>
      <c r="J586" s="78">
        <v>0</v>
      </c>
      <c r="K586" s="78">
        <v>0</v>
      </c>
      <c r="L586" s="36" t="e">
        <f t="shared" ca="1" si="112"/>
        <v>#N/A</v>
      </c>
      <c r="M586" s="37" t="e">
        <f t="shared" ca="1" si="110"/>
        <v>#N/A</v>
      </c>
      <c r="N586" s="37" t="e">
        <f t="shared" ca="1" si="111"/>
        <v>#N/A</v>
      </c>
      <c r="P586" s="35" t="e">
        <f t="shared" ca="1" si="119"/>
        <v>#N/A</v>
      </c>
      <c r="Q586" s="59" t="e">
        <f t="shared" ca="1" si="113"/>
        <v>#N/A</v>
      </c>
      <c r="R586" s="44" t="e">
        <f t="shared" ca="1" si="114"/>
        <v>#N/A</v>
      </c>
      <c r="S586" s="37" t="e">
        <f ca="1">IF(P586="","",IF(P586="Total",SUM($S$19:S585),VLOOKUP($P586,$B$12:$L650,11,FALSE)))</f>
        <v>#N/A</v>
      </c>
      <c r="T586" s="44" t="e">
        <f ca="1">IF(payfreq="Annually",IF(P586="","",IF(P586="Total",SUM($T$19:T585),Adj_Rate*$R586)),IF(payfreq="Semiannually",IF(P586="","",IF(P586="Total",SUM($T$19:T585),Adj_Rate/2*$R586)),IF(payfreq="Quarterly",IF(P586="","",IF(P586="Total",SUM($T$19:T585),Adj_Rate/4*$R586)),IF(payfreq="Monthly",IF(P586="","",IF(P586="Total",SUM($T$19:T585),Adj_Rate/12*$R586)),""))))</f>
        <v>#N/A</v>
      </c>
      <c r="U586" s="37" t="e">
        <f t="shared" ca="1" si="115"/>
        <v>#N/A</v>
      </c>
      <c r="V586" s="44" t="e">
        <f t="shared" ca="1" si="116"/>
        <v>#N/A</v>
      </c>
    </row>
    <row r="587" spans="2:22">
      <c r="B587" s="38" t="e">
        <f t="shared" ca="1" si="117"/>
        <v>#N/A</v>
      </c>
      <c r="C587" s="77" t="e">
        <f t="shared" ca="1" si="118"/>
        <v>#N/A</v>
      </c>
      <c r="D587" s="78" t="e">
        <f ca="1">+IF(AND(B587&lt;$G$7),VLOOKUP($B$1,Inventory!$A$1:$BC$500,35,FALSE),IF(AND(B587=$G$7,pmt_timing="End"),VLOOKUP($B$1,Inventory!$A$1:$BC$500,35,FALSE),0))</f>
        <v>#N/A</v>
      </c>
      <c r="E587" s="78">
        <v>0</v>
      </c>
      <c r="F587" s="78">
        <v>0</v>
      </c>
      <c r="G587" s="78">
        <v>0</v>
      </c>
      <c r="H587" s="78">
        <v>0</v>
      </c>
      <c r="I587" s="78">
        <v>0</v>
      </c>
      <c r="J587" s="78">
        <v>0</v>
      </c>
      <c r="K587" s="78">
        <v>0</v>
      </c>
      <c r="L587" s="36" t="e">
        <f t="shared" ca="1" si="112"/>
        <v>#N/A</v>
      </c>
      <c r="M587" s="37" t="e">
        <f t="shared" ca="1" si="110"/>
        <v>#N/A</v>
      </c>
      <c r="N587" s="37" t="e">
        <f t="shared" ca="1" si="111"/>
        <v>#N/A</v>
      </c>
      <c r="P587" s="35" t="e">
        <f t="shared" ca="1" si="119"/>
        <v>#N/A</v>
      </c>
      <c r="Q587" s="59" t="e">
        <f t="shared" ca="1" si="113"/>
        <v>#N/A</v>
      </c>
      <c r="R587" s="44" t="e">
        <f t="shared" ca="1" si="114"/>
        <v>#N/A</v>
      </c>
      <c r="S587" s="37" t="e">
        <f ca="1">IF(P587="","",IF(P587="Total",SUM($S$19:S586),VLOOKUP($P587,$B$12:$L651,11,FALSE)))</f>
        <v>#N/A</v>
      </c>
      <c r="T587" s="44" t="e">
        <f ca="1">IF(payfreq="Annually",IF(P587="","",IF(P587="Total",SUM($T$19:T586),Adj_Rate*$R587)),IF(payfreq="Semiannually",IF(P587="","",IF(P587="Total",SUM($T$19:T586),Adj_Rate/2*$R587)),IF(payfreq="Quarterly",IF(P587="","",IF(P587="Total",SUM($T$19:T586),Adj_Rate/4*$R587)),IF(payfreq="Monthly",IF(P587="","",IF(P587="Total",SUM($T$19:T586),Adj_Rate/12*$R587)),""))))</f>
        <v>#N/A</v>
      </c>
      <c r="U587" s="37" t="e">
        <f t="shared" ca="1" si="115"/>
        <v>#N/A</v>
      </c>
      <c r="V587" s="44" t="e">
        <f t="shared" ca="1" si="116"/>
        <v>#N/A</v>
      </c>
    </row>
    <row r="588" spans="2:22">
      <c r="B588" s="38" t="e">
        <f t="shared" ca="1" si="117"/>
        <v>#N/A</v>
      </c>
      <c r="C588" s="77" t="e">
        <f t="shared" ca="1" si="118"/>
        <v>#N/A</v>
      </c>
      <c r="D588" s="78" t="e">
        <f ca="1">+IF(AND(B588&lt;$G$7),VLOOKUP($B$1,Inventory!$A$1:$BC$500,35,FALSE),IF(AND(B588=$G$7,pmt_timing="End"),VLOOKUP($B$1,Inventory!$A$1:$BC$500,35,FALSE),0))</f>
        <v>#N/A</v>
      </c>
      <c r="E588" s="78">
        <v>0</v>
      </c>
      <c r="F588" s="78">
        <v>0</v>
      </c>
      <c r="G588" s="78">
        <v>0</v>
      </c>
      <c r="H588" s="78">
        <v>0</v>
      </c>
      <c r="I588" s="78">
        <v>0</v>
      </c>
      <c r="J588" s="78">
        <v>0</v>
      </c>
      <c r="K588" s="78">
        <v>0</v>
      </c>
      <c r="L588" s="36" t="e">
        <f t="shared" ca="1" si="112"/>
        <v>#N/A</v>
      </c>
      <c r="M588" s="37" t="e">
        <f t="shared" ca="1" si="110"/>
        <v>#N/A</v>
      </c>
      <c r="N588" s="37" t="e">
        <f t="shared" ca="1" si="111"/>
        <v>#N/A</v>
      </c>
      <c r="P588" s="35" t="e">
        <f t="shared" ca="1" si="119"/>
        <v>#N/A</v>
      </c>
      <c r="Q588" s="59" t="e">
        <f t="shared" ca="1" si="113"/>
        <v>#N/A</v>
      </c>
      <c r="R588" s="44" t="e">
        <f t="shared" ca="1" si="114"/>
        <v>#N/A</v>
      </c>
      <c r="S588" s="37" t="e">
        <f ca="1">IF(P588="","",IF(P588="Total",SUM($S$19:S587),VLOOKUP($P588,$B$12:$L652,11,FALSE)))</f>
        <v>#N/A</v>
      </c>
      <c r="T588" s="44" t="e">
        <f ca="1">IF(payfreq="Annually",IF(P588="","",IF(P588="Total",SUM($T$19:T587),Adj_Rate*$R588)),IF(payfreq="Semiannually",IF(P588="","",IF(P588="Total",SUM($T$19:T587),Adj_Rate/2*$R588)),IF(payfreq="Quarterly",IF(P588="","",IF(P588="Total",SUM($T$19:T587),Adj_Rate/4*$R588)),IF(payfreq="Monthly",IF(P588="","",IF(P588="Total",SUM($T$19:T587),Adj_Rate/12*$R588)),""))))</f>
        <v>#N/A</v>
      </c>
      <c r="U588" s="37" t="e">
        <f t="shared" ca="1" si="115"/>
        <v>#N/A</v>
      </c>
      <c r="V588" s="44" t="e">
        <f t="shared" ca="1" si="116"/>
        <v>#N/A</v>
      </c>
    </row>
    <row r="589" spans="2:22">
      <c r="B589" s="38" t="e">
        <f t="shared" ca="1" si="117"/>
        <v>#N/A</v>
      </c>
      <c r="C589" s="77" t="e">
        <f t="shared" ca="1" si="118"/>
        <v>#N/A</v>
      </c>
      <c r="D589" s="78" t="e">
        <f ca="1">+IF(AND(B589&lt;$G$7),VLOOKUP($B$1,Inventory!$A$1:$BC$500,35,FALSE),IF(AND(B589=$G$7,pmt_timing="End"),VLOOKUP($B$1,Inventory!$A$1:$BC$500,35,FALSE),0))</f>
        <v>#N/A</v>
      </c>
      <c r="E589" s="78">
        <v>0</v>
      </c>
      <c r="F589" s="78">
        <v>0</v>
      </c>
      <c r="G589" s="78">
        <v>0</v>
      </c>
      <c r="H589" s="78">
        <v>0</v>
      </c>
      <c r="I589" s="78">
        <v>0</v>
      </c>
      <c r="J589" s="78">
        <v>0</v>
      </c>
      <c r="K589" s="78">
        <v>0</v>
      </c>
      <c r="L589" s="36" t="e">
        <f t="shared" ca="1" si="112"/>
        <v>#N/A</v>
      </c>
      <c r="M589" s="37" t="e">
        <f t="shared" ca="1" si="110"/>
        <v>#N/A</v>
      </c>
      <c r="N589" s="37" t="e">
        <f t="shared" ca="1" si="111"/>
        <v>#N/A</v>
      </c>
      <c r="P589" s="35" t="e">
        <f t="shared" ca="1" si="119"/>
        <v>#N/A</v>
      </c>
      <c r="Q589" s="59" t="e">
        <f t="shared" ca="1" si="113"/>
        <v>#N/A</v>
      </c>
      <c r="R589" s="44" t="e">
        <f t="shared" ca="1" si="114"/>
        <v>#N/A</v>
      </c>
      <c r="S589" s="37" t="e">
        <f ca="1">IF(P589="","",IF(P589="Total",SUM($S$19:S588),VLOOKUP($P589,$B$12:$L653,11,FALSE)))</f>
        <v>#N/A</v>
      </c>
      <c r="T589" s="44" t="e">
        <f ca="1">IF(payfreq="Annually",IF(P589="","",IF(P589="Total",SUM($T$19:T588),Adj_Rate*$R589)),IF(payfreq="Semiannually",IF(P589="","",IF(P589="Total",SUM($T$19:T588),Adj_Rate/2*$R589)),IF(payfreq="Quarterly",IF(P589="","",IF(P589="Total",SUM($T$19:T588),Adj_Rate/4*$R589)),IF(payfreq="Monthly",IF(P589="","",IF(P589="Total",SUM($T$19:T588),Adj_Rate/12*$R589)),""))))</f>
        <v>#N/A</v>
      </c>
      <c r="U589" s="37" t="e">
        <f t="shared" ca="1" si="115"/>
        <v>#N/A</v>
      </c>
      <c r="V589" s="44" t="e">
        <f t="shared" ca="1" si="116"/>
        <v>#N/A</v>
      </c>
    </row>
    <row r="590" spans="2:22">
      <c r="B590" s="38" t="e">
        <f t="shared" ca="1" si="117"/>
        <v>#N/A</v>
      </c>
      <c r="C590" s="77" t="e">
        <f t="shared" ca="1" si="118"/>
        <v>#N/A</v>
      </c>
      <c r="D590" s="78" t="e">
        <f ca="1">+IF(AND(B590&lt;$G$7),VLOOKUP($B$1,Inventory!$A$1:$BC$500,35,FALSE),IF(AND(B590=$G$7,pmt_timing="End"),VLOOKUP($B$1,Inventory!$A$1:$BC$500,35,FALSE),0))</f>
        <v>#N/A</v>
      </c>
      <c r="E590" s="78">
        <v>0</v>
      </c>
      <c r="F590" s="78">
        <v>0</v>
      </c>
      <c r="G590" s="78">
        <v>0</v>
      </c>
      <c r="H590" s="78">
        <v>0</v>
      </c>
      <c r="I590" s="78">
        <v>0</v>
      </c>
      <c r="J590" s="78">
        <v>0</v>
      </c>
      <c r="K590" s="78">
        <v>0</v>
      </c>
      <c r="L590" s="36" t="e">
        <f t="shared" ca="1" si="112"/>
        <v>#N/A</v>
      </c>
      <c r="M590" s="37" t="e">
        <f t="shared" ca="1" si="110"/>
        <v>#N/A</v>
      </c>
      <c r="N590" s="37" t="e">
        <f t="shared" ca="1" si="111"/>
        <v>#N/A</v>
      </c>
      <c r="P590" s="35" t="e">
        <f t="shared" ca="1" si="119"/>
        <v>#N/A</v>
      </c>
      <c r="Q590" s="59" t="e">
        <f t="shared" ca="1" si="113"/>
        <v>#N/A</v>
      </c>
      <c r="R590" s="44" t="e">
        <f t="shared" ca="1" si="114"/>
        <v>#N/A</v>
      </c>
      <c r="S590" s="37" t="e">
        <f ca="1">IF(P590="","",IF(P590="Total",SUM($S$19:S589),VLOOKUP($P590,$B$12:$L654,11,FALSE)))</f>
        <v>#N/A</v>
      </c>
      <c r="T590" s="44" t="e">
        <f ca="1">IF(payfreq="Annually",IF(P590="","",IF(P590="Total",SUM($T$19:T589),Adj_Rate*$R590)),IF(payfreq="Semiannually",IF(P590="","",IF(P590="Total",SUM($T$19:T589),Adj_Rate/2*$R590)),IF(payfreq="Quarterly",IF(P590="","",IF(P590="Total",SUM($T$19:T589),Adj_Rate/4*$R590)),IF(payfreq="Monthly",IF(P590="","",IF(P590="Total",SUM($T$19:T589),Adj_Rate/12*$R590)),""))))</f>
        <v>#N/A</v>
      </c>
      <c r="U590" s="37" t="e">
        <f t="shared" ca="1" si="115"/>
        <v>#N/A</v>
      </c>
      <c r="V590" s="44" t="e">
        <f t="shared" ca="1" si="116"/>
        <v>#N/A</v>
      </c>
    </row>
    <row r="591" spans="2:22">
      <c r="B591" s="38" t="e">
        <f t="shared" ca="1" si="117"/>
        <v>#N/A</v>
      </c>
      <c r="C591" s="77" t="e">
        <f t="shared" ca="1" si="118"/>
        <v>#N/A</v>
      </c>
      <c r="D591" s="78" t="e">
        <f ca="1">+IF(AND(B591&lt;$G$7),VLOOKUP($B$1,Inventory!$A$1:$BC$500,35,FALSE),IF(AND(B591=$G$7,pmt_timing="End"),VLOOKUP($B$1,Inventory!$A$1:$BC$500,35,FALSE),0))</f>
        <v>#N/A</v>
      </c>
      <c r="E591" s="78">
        <v>0</v>
      </c>
      <c r="F591" s="78">
        <v>0</v>
      </c>
      <c r="G591" s="78">
        <v>0</v>
      </c>
      <c r="H591" s="78">
        <v>0</v>
      </c>
      <c r="I591" s="78">
        <v>0</v>
      </c>
      <c r="J591" s="78">
        <v>0</v>
      </c>
      <c r="K591" s="78">
        <v>0</v>
      </c>
      <c r="L591" s="36" t="e">
        <f t="shared" ca="1" si="112"/>
        <v>#N/A</v>
      </c>
      <c r="M591" s="37" t="e">
        <f t="shared" ca="1" si="110"/>
        <v>#N/A</v>
      </c>
      <c r="N591" s="37" t="e">
        <f t="shared" ca="1" si="111"/>
        <v>#N/A</v>
      </c>
      <c r="P591" s="35" t="e">
        <f t="shared" ca="1" si="119"/>
        <v>#N/A</v>
      </c>
      <c r="Q591" s="59" t="e">
        <f t="shared" ca="1" si="113"/>
        <v>#N/A</v>
      </c>
      <c r="R591" s="44" t="e">
        <f t="shared" ca="1" si="114"/>
        <v>#N/A</v>
      </c>
      <c r="S591" s="37" t="e">
        <f ca="1">IF(P591="","",IF(P591="Total",SUM($S$19:S590),VLOOKUP($P591,$B$12:$L655,11,FALSE)))</f>
        <v>#N/A</v>
      </c>
      <c r="T591" s="44" t="e">
        <f ca="1">IF(payfreq="Annually",IF(P591="","",IF(P591="Total",SUM($T$19:T590),Adj_Rate*$R591)),IF(payfreq="Semiannually",IF(P591="","",IF(P591="Total",SUM($T$19:T590),Adj_Rate/2*$R591)),IF(payfreq="Quarterly",IF(P591="","",IF(P591="Total",SUM($T$19:T590),Adj_Rate/4*$R591)),IF(payfreq="Monthly",IF(P591="","",IF(P591="Total",SUM($T$19:T590),Adj_Rate/12*$R591)),""))))</f>
        <v>#N/A</v>
      </c>
      <c r="U591" s="37" t="e">
        <f t="shared" ca="1" si="115"/>
        <v>#N/A</v>
      </c>
      <c r="V591" s="44" t="e">
        <f t="shared" ca="1" si="116"/>
        <v>#N/A</v>
      </c>
    </row>
    <row r="592" spans="2:22">
      <c r="B592" s="38" t="e">
        <f t="shared" ca="1" si="117"/>
        <v>#N/A</v>
      </c>
      <c r="C592" s="77" t="e">
        <f t="shared" ca="1" si="118"/>
        <v>#N/A</v>
      </c>
      <c r="D592" s="78" t="e">
        <f ca="1">+IF(AND(B592&lt;$G$7),VLOOKUP($B$1,Inventory!$A$1:$BC$500,35,FALSE),IF(AND(B592=$G$7,pmt_timing="End"),VLOOKUP($B$1,Inventory!$A$1:$BC$500,35,FALSE),0))</f>
        <v>#N/A</v>
      </c>
      <c r="E592" s="78">
        <v>0</v>
      </c>
      <c r="F592" s="78">
        <v>0</v>
      </c>
      <c r="G592" s="78">
        <v>0</v>
      </c>
      <c r="H592" s="78">
        <v>0</v>
      </c>
      <c r="I592" s="78">
        <v>0</v>
      </c>
      <c r="J592" s="78">
        <v>0</v>
      </c>
      <c r="K592" s="78">
        <v>0</v>
      </c>
      <c r="L592" s="36" t="e">
        <f t="shared" ca="1" si="112"/>
        <v>#N/A</v>
      </c>
      <c r="M592" s="37" t="e">
        <f t="shared" ca="1" si="110"/>
        <v>#N/A</v>
      </c>
      <c r="N592" s="37" t="e">
        <f t="shared" ca="1" si="111"/>
        <v>#N/A</v>
      </c>
      <c r="P592" s="35" t="e">
        <f t="shared" ca="1" si="119"/>
        <v>#N/A</v>
      </c>
      <c r="Q592" s="59" t="e">
        <f t="shared" ca="1" si="113"/>
        <v>#N/A</v>
      </c>
      <c r="R592" s="44" t="e">
        <f t="shared" ca="1" si="114"/>
        <v>#N/A</v>
      </c>
      <c r="S592" s="37" t="e">
        <f ca="1">IF(P592="","",IF(P592="Total",SUM($S$19:S591),VLOOKUP($P592,$B$12:$L656,11,FALSE)))</f>
        <v>#N/A</v>
      </c>
      <c r="T592" s="44" t="e">
        <f ca="1">IF(payfreq="Annually",IF(P592="","",IF(P592="Total",SUM($T$19:T591),Adj_Rate*$R592)),IF(payfreq="Semiannually",IF(P592="","",IF(P592="Total",SUM($T$19:T591),Adj_Rate/2*$R592)),IF(payfreq="Quarterly",IF(P592="","",IF(P592="Total",SUM($T$19:T591),Adj_Rate/4*$R592)),IF(payfreq="Monthly",IF(P592="","",IF(P592="Total",SUM($T$19:T591),Adj_Rate/12*$R592)),""))))</f>
        <v>#N/A</v>
      </c>
      <c r="U592" s="37" t="e">
        <f t="shared" ca="1" si="115"/>
        <v>#N/A</v>
      </c>
      <c r="V592" s="44" t="e">
        <f t="shared" ca="1" si="116"/>
        <v>#N/A</v>
      </c>
    </row>
    <row r="593" spans="2:22">
      <c r="B593" s="38" t="e">
        <f t="shared" ca="1" si="117"/>
        <v>#N/A</v>
      </c>
      <c r="C593" s="77" t="e">
        <f t="shared" ca="1" si="118"/>
        <v>#N/A</v>
      </c>
      <c r="D593" s="78" t="e">
        <f ca="1">+IF(AND(B593&lt;$G$7),VLOOKUP($B$1,Inventory!$A$1:$BC$500,35,FALSE),IF(AND(B593=$G$7,pmt_timing="End"),VLOOKUP($B$1,Inventory!$A$1:$BC$500,35,FALSE),0))</f>
        <v>#N/A</v>
      </c>
      <c r="E593" s="78">
        <v>0</v>
      </c>
      <c r="F593" s="78">
        <v>0</v>
      </c>
      <c r="G593" s="78">
        <v>0</v>
      </c>
      <c r="H593" s="78">
        <v>0</v>
      </c>
      <c r="I593" s="78">
        <v>0</v>
      </c>
      <c r="J593" s="78">
        <v>0</v>
      </c>
      <c r="K593" s="78">
        <v>0</v>
      </c>
      <c r="L593" s="36" t="e">
        <f t="shared" ca="1" si="112"/>
        <v>#N/A</v>
      </c>
      <c r="M593" s="37" t="e">
        <f t="shared" ca="1" si="110"/>
        <v>#N/A</v>
      </c>
      <c r="N593" s="37" t="e">
        <f t="shared" ca="1" si="111"/>
        <v>#N/A</v>
      </c>
      <c r="P593" s="35" t="e">
        <f t="shared" ca="1" si="119"/>
        <v>#N/A</v>
      </c>
      <c r="Q593" s="59" t="e">
        <f t="shared" ca="1" si="113"/>
        <v>#N/A</v>
      </c>
      <c r="R593" s="44" t="e">
        <f t="shared" ca="1" si="114"/>
        <v>#N/A</v>
      </c>
      <c r="S593" s="37" t="e">
        <f ca="1">IF(P593="","",IF(P593="Total",SUM($S$19:S592),VLOOKUP($P593,$B$12:$L657,11,FALSE)))</f>
        <v>#N/A</v>
      </c>
      <c r="T593" s="44" t="e">
        <f ca="1">IF(payfreq="Annually",IF(P593="","",IF(P593="Total",SUM($T$19:T592),Adj_Rate*$R593)),IF(payfreq="Semiannually",IF(P593="","",IF(P593="Total",SUM($T$19:T592),Adj_Rate/2*$R593)),IF(payfreq="Quarterly",IF(P593="","",IF(P593="Total",SUM($T$19:T592),Adj_Rate/4*$R593)),IF(payfreq="Monthly",IF(P593="","",IF(P593="Total",SUM($T$19:T592),Adj_Rate/12*$R593)),""))))</f>
        <v>#N/A</v>
      </c>
      <c r="U593" s="37" t="e">
        <f t="shared" ca="1" si="115"/>
        <v>#N/A</v>
      </c>
      <c r="V593" s="44" t="e">
        <f t="shared" ca="1" si="116"/>
        <v>#N/A</v>
      </c>
    </row>
    <row r="594" spans="2:22">
      <c r="B594" s="38" t="e">
        <f t="shared" ca="1" si="117"/>
        <v>#N/A</v>
      </c>
      <c r="C594" s="77" t="e">
        <f t="shared" ca="1" si="118"/>
        <v>#N/A</v>
      </c>
      <c r="D594" s="78" t="e">
        <f ca="1">+IF(AND(B594&lt;$G$7),VLOOKUP($B$1,Inventory!$A$1:$BC$500,35,FALSE),IF(AND(B594=$G$7,pmt_timing="End"),VLOOKUP($B$1,Inventory!$A$1:$BC$500,35,FALSE),0))</f>
        <v>#N/A</v>
      </c>
      <c r="E594" s="78">
        <v>0</v>
      </c>
      <c r="F594" s="78">
        <v>0</v>
      </c>
      <c r="G594" s="78">
        <v>0</v>
      </c>
      <c r="H594" s="78">
        <v>0</v>
      </c>
      <c r="I594" s="78">
        <v>0</v>
      </c>
      <c r="J594" s="78">
        <v>0</v>
      </c>
      <c r="K594" s="78">
        <v>0</v>
      </c>
      <c r="L594" s="36" t="e">
        <f t="shared" ca="1" si="112"/>
        <v>#N/A</v>
      </c>
      <c r="M594" s="37" t="e">
        <f t="shared" ref="M594:M615" ca="1" si="120">IF(pmt_timing="End",IF($B594&gt;term, "",$L594/(1+Adj_Rate/12)^B594),"")</f>
        <v>#N/A</v>
      </c>
      <c r="N594" s="37" t="e">
        <f t="shared" ca="1" si="111"/>
        <v>#N/A</v>
      </c>
      <c r="P594" s="35" t="e">
        <f t="shared" ca="1" si="119"/>
        <v>#N/A</v>
      </c>
      <c r="Q594" s="59" t="e">
        <f t="shared" ca="1" si="113"/>
        <v>#N/A</v>
      </c>
      <c r="R594" s="44" t="e">
        <f t="shared" ca="1" si="114"/>
        <v>#N/A</v>
      </c>
      <c r="S594" s="37" t="e">
        <f ca="1">IF(P594="","",IF(P594="Total",SUM($S$19:S593),VLOOKUP($P594,$B$12:$L658,11,FALSE)))</f>
        <v>#N/A</v>
      </c>
      <c r="T594" s="44" t="e">
        <f ca="1">IF(payfreq="Annually",IF(P594="","",IF(P594="Total",SUM($T$19:T593),Adj_Rate*$R594)),IF(payfreq="Semiannually",IF(P594="","",IF(P594="Total",SUM($T$19:T593),Adj_Rate/2*$R594)),IF(payfreq="Quarterly",IF(P594="","",IF(P594="Total",SUM($T$19:T593),Adj_Rate/4*$R594)),IF(payfreq="Monthly",IF(P594="","",IF(P594="Total",SUM($T$19:T593),Adj_Rate/12*$R594)),""))))</f>
        <v>#N/A</v>
      </c>
      <c r="U594" s="37" t="e">
        <f t="shared" ca="1" si="115"/>
        <v>#N/A</v>
      </c>
      <c r="V594" s="44" t="e">
        <f t="shared" ca="1" si="116"/>
        <v>#N/A</v>
      </c>
    </row>
    <row r="595" spans="2:22">
      <c r="B595" s="38" t="e">
        <f t="shared" ca="1" si="117"/>
        <v>#N/A</v>
      </c>
      <c r="C595" s="77" t="e">
        <f t="shared" ca="1" si="118"/>
        <v>#N/A</v>
      </c>
      <c r="D595" s="78" t="e">
        <f ca="1">+IF(AND(B595&lt;$G$7),VLOOKUP($B$1,Inventory!$A$1:$BC$500,35,FALSE),IF(AND(B595=$G$7,pmt_timing="End"),VLOOKUP($B$1,Inventory!$A$1:$BC$500,35,FALSE),0))</f>
        <v>#N/A</v>
      </c>
      <c r="E595" s="78">
        <v>0</v>
      </c>
      <c r="F595" s="78">
        <v>0</v>
      </c>
      <c r="G595" s="78">
        <v>0</v>
      </c>
      <c r="H595" s="78">
        <v>0</v>
      </c>
      <c r="I595" s="78">
        <v>0</v>
      </c>
      <c r="J595" s="78">
        <v>0</v>
      </c>
      <c r="K595" s="78">
        <v>0</v>
      </c>
      <c r="L595" s="36" t="e">
        <f t="shared" ca="1" si="112"/>
        <v>#N/A</v>
      </c>
      <c r="M595" s="37" t="e">
        <f t="shared" ca="1" si="120"/>
        <v>#N/A</v>
      </c>
      <c r="N595" s="37" t="e">
        <f t="shared" ref="N595:N658" ca="1" si="121">IF(AND(payfreq="Annually",pmt_timing="Beginning",$B595&lt;=term),$L595/(1+Adj_Rate)^($B595),IF(AND(payfreq="Semiannually",pmt_timing="Beginning",$B595&lt;=term),$L595/(1+Adj_Rate/2)^($B595),IF(AND(payfreq="Quarterly",pmt_timing="Beginning",$B595&lt;=term),$L595/(1+Adj_Rate/4)^($B595),IF(AND(payfreq="Monthly",pmt_timing="Beginning",$B595&lt;=term),$L595/(1+Adj_Rate/12)^($B595),""))))</f>
        <v>#N/A</v>
      </c>
      <c r="P595" s="35" t="e">
        <f t="shared" ca="1" si="119"/>
        <v>#N/A</v>
      </c>
      <c r="Q595" s="59" t="e">
        <f t="shared" ca="1" si="113"/>
        <v>#N/A</v>
      </c>
      <c r="R595" s="44" t="e">
        <f t="shared" ca="1" si="114"/>
        <v>#N/A</v>
      </c>
      <c r="S595" s="37" t="e">
        <f ca="1">IF(P595="","",IF(P595="Total",SUM($S$19:S594),VLOOKUP($P595,$B$12:$L659,11,FALSE)))</f>
        <v>#N/A</v>
      </c>
      <c r="T595" s="44" t="e">
        <f ca="1">IF(payfreq="Annually",IF(P595="","",IF(P595="Total",SUM($T$19:T594),Adj_Rate*$R595)),IF(payfreq="Semiannually",IF(P595="","",IF(P595="Total",SUM($T$19:T594),Adj_Rate/2*$R595)),IF(payfreq="Quarterly",IF(P595="","",IF(P595="Total",SUM($T$19:T594),Adj_Rate/4*$R595)),IF(payfreq="Monthly",IF(P595="","",IF(P595="Total",SUM($T$19:T594),Adj_Rate/12*$R595)),""))))</f>
        <v>#N/A</v>
      </c>
      <c r="U595" s="37" t="e">
        <f t="shared" ca="1" si="115"/>
        <v>#N/A</v>
      </c>
      <c r="V595" s="44" t="e">
        <f t="shared" ca="1" si="116"/>
        <v>#N/A</v>
      </c>
    </row>
    <row r="596" spans="2:22">
      <c r="B596" s="38" t="e">
        <f t="shared" ca="1" si="117"/>
        <v>#N/A</v>
      </c>
      <c r="C596" s="77" t="e">
        <f t="shared" ca="1" si="118"/>
        <v>#N/A</v>
      </c>
      <c r="D596" s="78" t="e">
        <f ca="1">+IF(AND(B596&lt;$G$7),VLOOKUP($B$1,Inventory!$A$1:$BC$500,35,FALSE),IF(AND(B596=$G$7,pmt_timing="End"),VLOOKUP($B$1,Inventory!$A$1:$BC$500,35,FALSE),0))</f>
        <v>#N/A</v>
      </c>
      <c r="E596" s="78">
        <v>0</v>
      </c>
      <c r="F596" s="78">
        <v>0</v>
      </c>
      <c r="G596" s="78">
        <v>0</v>
      </c>
      <c r="H596" s="78">
        <v>0</v>
      </c>
      <c r="I596" s="78">
        <v>0</v>
      </c>
      <c r="J596" s="78">
        <v>0</v>
      </c>
      <c r="K596" s="78">
        <v>0</v>
      </c>
      <c r="L596" s="36" t="e">
        <f t="shared" ref="L596:L615" ca="1" si="122">SUM(D596:K596)</f>
        <v>#N/A</v>
      </c>
      <c r="M596" s="37" t="e">
        <f t="shared" ca="1" si="120"/>
        <v>#N/A</v>
      </c>
      <c r="N596" s="37" t="e">
        <f t="shared" ca="1" si="121"/>
        <v>#N/A</v>
      </c>
      <c r="P596" s="35" t="e">
        <f t="shared" ca="1" si="119"/>
        <v>#N/A</v>
      </c>
      <c r="Q596" s="59" t="e">
        <f t="shared" ref="Q596:Q659" ca="1" si="123">IF(P596="","",IF(P596="total","",IF(payfreq="Annually",DATE(YEAR(Q595)+1,MONTH(Q595),DAY(Q595)),IF(payfreq="Semiannually",DATE(YEAR(Q595),MONTH(Q595)+6,DAY(Q595)),IF(payfreq="Quarterly",DATE(YEAR(Q595),MONTH(Q595)+3,DAY(Q595)),IF(payfreq="Monthly",DATE(YEAR(Q595),MONTH(Q595)+1,DAY(Q595))))))))</f>
        <v>#N/A</v>
      </c>
      <c r="R596" s="44" t="e">
        <f t="shared" ref="R596:R605" ca="1" si="124">IF(OR(P596="",P596="Total"),"",V595)</f>
        <v>#N/A</v>
      </c>
      <c r="S596" s="37" t="e">
        <f ca="1">IF(P596="","",IF(P596="Total",SUM($S$19:S595),VLOOKUP($P596,$B$12:$L660,11,FALSE)))</f>
        <v>#N/A</v>
      </c>
      <c r="T596" s="44" t="e">
        <f ca="1">IF(payfreq="Annually",IF(P596="","",IF(P596="Total",SUM($T$19:T595),Adj_Rate*$R596)),IF(payfreq="Semiannually",IF(P596="","",IF(P596="Total",SUM($T$19:T595),Adj_Rate/2*$R596)),IF(payfreq="Quarterly",IF(P596="","",IF(P596="Total",SUM($T$19:T595),Adj_Rate/4*$R596)),IF(payfreq="Monthly",IF(P596="","",IF(P596="Total",SUM($T$19:T595),Adj_Rate/12*$R596)),""))))</f>
        <v>#N/A</v>
      </c>
      <c r="U596" s="37" t="e">
        <f t="shared" ref="U596:U614" ca="1" si="125">+IF(S596="","",S596-T596)</f>
        <v>#N/A</v>
      </c>
      <c r="V596" s="44" t="e">
        <f t="shared" ref="V596:V614" ca="1" si="126">IF(OR(P596="",P596="Total"),"",R596+T596-S596)</f>
        <v>#N/A</v>
      </c>
    </row>
    <row r="597" spans="2:22">
      <c r="B597" s="38" t="e">
        <f t="shared" ref="B597:B660" ca="1" si="127">IF(B596&lt;term,B596+1,"")</f>
        <v>#N/A</v>
      </c>
      <c r="C597" s="77" t="e">
        <f t="shared" ref="C597:C615" ca="1" si="128">IF(Q597 &lt;&gt; "",Q597, "")</f>
        <v>#N/A</v>
      </c>
      <c r="D597" s="78" t="e">
        <f ca="1">+IF(AND(B597&lt;$G$7),VLOOKUP($B$1,Inventory!$A$1:$BC$500,35,FALSE),IF(AND(B597=$G$7,pmt_timing="End"),VLOOKUP($B$1,Inventory!$A$1:$BC$500,35,FALSE),0))</f>
        <v>#N/A</v>
      </c>
      <c r="E597" s="78">
        <v>0</v>
      </c>
      <c r="F597" s="78">
        <v>0</v>
      </c>
      <c r="G597" s="78">
        <v>0</v>
      </c>
      <c r="H597" s="78">
        <v>0</v>
      </c>
      <c r="I597" s="78">
        <v>0</v>
      </c>
      <c r="J597" s="78">
        <v>0</v>
      </c>
      <c r="K597" s="78">
        <v>0</v>
      </c>
      <c r="L597" s="36" t="e">
        <f t="shared" ca="1" si="122"/>
        <v>#N/A</v>
      </c>
      <c r="M597" s="37" t="e">
        <f t="shared" ca="1" si="120"/>
        <v>#N/A</v>
      </c>
      <c r="N597" s="37" t="e">
        <f t="shared" ca="1" si="121"/>
        <v>#N/A</v>
      </c>
      <c r="P597" s="35" t="e">
        <f t="shared" ref="P597:P660" ca="1" si="129">IF(P596&lt;term,P596+1,IF(P596=term,"Total",""))</f>
        <v>#N/A</v>
      </c>
      <c r="Q597" s="59" t="e">
        <f t="shared" ca="1" si="123"/>
        <v>#N/A</v>
      </c>
      <c r="R597" s="44" t="e">
        <f t="shared" ca="1" si="124"/>
        <v>#N/A</v>
      </c>
      <c r="S597" s="37" t="e">
        <f ca="1">IF(P597="","",IF(P597="Total",SUM($S$19:S596),VLOOKUP($P597,$B$12:$L661,11,FALSE)))</f>
        <v>#N/A</v>
      </c>
      <c r="T597" s="44" t="e">
        <f ca="1">IF(payfreq="Annually",IF(P597="","",IF(P597="Total",SUM($T$19:T596),Adj_Rate*$R597)),IF(payfreq="Semiannually",IF(P597="","",IF(P597="Total",SUM($T$19:T596),Adj_Rate/2*$R597)),IF(payfreq="Quarterly",IF(P597="","",IF(P597="Total",SUM($T$19:T596),Adj_Rate/4*$R597)),IF(payfreq="Monthly",IF(P597="","",IF(P597="Total",SUM($T$19:T596),Adj_Rate/12*$R597)),""))))</f>
        <v>#N/A</v>
      </c>
      <c r="U597" s="37" t="e">
        <f t="shared" ca="1" si="125"/>
        <v>#N/A</v>
      </c>
      <c r="V597" s="44" t="e">
        <f t="shared" ca="1" si="126"/>
        <v>#N/A</v>
      </c>
    </row>
    <row r="598" spans="2:22">
      <c r="B598" s="38" t="e">
        <f t="shared" ca="1" si="127"/>
        <v>#N/A</v>
      </c>
      <c r="C598" s="77" t="e">
        <f t="shared" ca="1" si="128"/>
        <v>#N/A</v>
      </c>
      <c r="D598" s="78" t="e">
        <f ca="1">+IF(AND(B598&lt;$G$7),VLOOKUP($B$1,Inventory!$A$1:$BC$500,35,FALSE),IF(AND(B598=$G$7,pmt_timing="End"),VLOOKUP($B$1,Inventory!$A$1:$BC$500,35,FALSE),0))</f>
        <v>#N/A</v>
      </c>
      <c r="E598" s="78">
        <v>0</v>
      </c>
      <c r="F598" s="78">
        <v>0</v>
      </c>
      <c r="G598" s="78">
        <v>0</v>
      </c>
      <c r="H598" s="78">
        <v>0</v>
      </c>
      <c r="I598" s="78">
        <v>0</v>
      </c>
      <c r="J598" s="78">
        <v>0</v>
      </c>
      <c r="K598" s="78">
        <v>0</v>
      </c>
      <c r="L598" s="36" t="e">
        <f t="shared" ca="1" si="122"/>
        <v>#N/A</v>
      </c>
      <c r="M598" s="37" t="e">
        <f t="shared" ca="1" si="120"/>
        <v>#N/A</v>
      </c>
      <c r="N598" s="37" t="e">
        <f t="shared" ca="1" si="121"/>
        <v>#N/A</v>
      </c>
      <c r="P598" s="35" t="e">
        <f t="shared" ca="1" si="129"/>
        <v>#N/A</v>
      </c>
      <c r="Q598" s="59" t="e">
        <f t="shared" ca="1" si="123"/>
        <v>#N/A</v>
      </c>
      <c r="R598" s="44" t="e">
        <f t="shared" ca="1" si="124"/>
        <v>#N/A</v>
      </c>
      <c r="S598" s="37" t="e">
        <f ca="1">IF(P598="","",IF(P598="Total",SUM($S$19:S597),VLOOKUP($P598,$B$12:$L662,11,FALSE)))</f>
        <v>#N/A</v>
      </c>
      <c r="T598" s="44" t="e">
        <f ca="1">IF(payfreq="Annually",IF(P598="","",IF(P598="Total",SUM($T$19:T597),Adj_Rate*$R598)),IF(payfreq="Semiannually",IF(P598="","",IF(P598="Total",SUM($T$19:T597),Adj_Rate/2*$R598)),IF(payfreq="Quarterly",IF(P598="","",IF(P598="Total",SUM($T$19:T597),Adj_Rate/4*$R598)),IF(payfreq="Monthly",IF(P598="","",IF(P598="Total",SUM($T$19:T597),Adj_Rate/12*$R598)),""))))</f>
        <v>#N/A</v>
      </c>
      <c r="U598" s="37" t="e">
        <f t="shared" ca="1" si="125"/>
        <v>#N/A</v>
      </c>
      <c r="V598" s="44" t="e">
        <f t="shared" ca="1" si="126"/>
        <v>#N/A</v>
      </c>
    </row>
    <row r="599" spans="2:22">
      <c r="B599" s="38" t="e">
        <f t="shared" ca="1" si="127"/>
        <v>#N/A</v>
      </c>
      <c r="C599" s="77" t="e">
        <f t="shared" ca="1" si="128"/>
        <v>#N/A</v>
      </c>
      <c r="D599" s="78" t="e">
        <f ca="1">+IF(AND(B599&lt;$G$7),VLOOKUP($B$1,Inventory!$A$1:$BC$500,35,FALSE),IF(AND(B599=$G$7,pmt_timing="End"),VLOOKUP($B$1,Inventory!$A$1:$BC$500,35,FALSE),0))</f>
        <v>#N/A</v>
      </c>
      <c r="E599" s="78">
        <v>0</v>
      </c>
      <c r="F599" s="78">
        <v>0</v>
      </c>
      <c r="G599" s="78">
        <v>0</v>
      </c>
      <c r="H599" s="78">
        <v>0</v>
      </c>
      <c r="I599" s="78">
        <v>0</v>
      </c>
      <c r="J599" s="78">
        <v>0</v>
      </c>
      <c r="K599" s="78">
        <v>0</v>
      </c>
      <c r="L599" s="36" t="e">
        <f t="shared" ca="1" si="122"/>
        <v>#N/A</v>
      </c>
      <c r="M599" s="37" t="e">
        <f t="shared" ca="1" si="120"/>
        <v>#N/A</v>
      </c>
      <c r="N599" s="37" t="e">
        <f t="shared" ca="1" si="121"/>
        <v>#N/A</v>
      </c>
      <c r="P599" s="35" t="e">
        <f t="shared" ca="1" si="129"/>
        <v>#N/A</v>
      </c>
      <c r="Q599" s="59" t="e">
        <f t="shared" ca="1" si="123"/>
        <v>#N/A</v>
      </c>
      <c r="R599" s="44" t="e">
        <f t="shared" ca="1" si="124"/>
        <v>#N/A</v>
      </c>
      <c r="S599" s="37" t="e">
        <f ca="1">IF(P599="","",IF(P599="Total",SUM($S$19:S598),VLOOKUP($P599,$B$12:$L663,11,FALSE)))</f>
        <v>#N/A</v>
      </c>
      <c r="T599" s="44" t="e">
        <f ca="1">IF(payfreq="Annually",IF(P599="","",IF(P599="Total",SUM($T$19:T598),Adj_Rate*$R599)),IF(payfreq="Semiannually",IF(P599="","",IF(P599="Total",SUM($T$19:T598),Adj_Rate/2*$R599)),IF(payfreq="Quarterly",IF(P599="","",IF(P599="Total",SUM($T$19:T598),Adj_Rate/4*$R599)),IF(payfreq="Monthly",IF(P599="","",IF(P599="Total",SUM($T$19:T598),Adj_Rate/12*$R599)),""))))</f>
        <v>#N/A</v>
      </c>
      <c r="U599" s="37" t="e">
        <f t="shared" ca="1" si="125"/>
        <v>#N/A</v>
      </c>
      <c r="V599" s="44" t="e">
        <f t="shared" ca="1" si="126"/>
        <v>#N/A</v>
      </c>
    </row>
    <row r="600" spans="2:22">
      <c r="B600" s="38" t="e">
        <f t="shared" ca="1" si="127"/>
        <v>#N/A</v>
      </c>
      <c r="C600" s="77" t="e">
        <f t="shared" ca="1" si="128"/>
        <v>#N/A</v>
      </c>
      <c r="D600" s="78" t="e">
        <f ca="1">+IF(AND(B600&lt;$G$7),VLOOKUP($B$1,Inventory!$A$1:$BC$500,35,FALSE),IF(AND(B600=$G$7,pmt_timing="End"),VLOOKUP($B$1,Inventory!$A$1:$BC$500,35,FALSE),0))</f>
        <v>#N/A</v>
      </c>
      <c r="E600" s="78">
        <v>0</v>
      </c>
      <c r="F600" s="78">
        <v>0</v>
      </c>
      <c r="G600" s="78">
        <v>0</v>
      </c>
      <c r="H600" s="78">
        <v>0</v>
      </c>
      <c r="I600" s="78">
        <v>0</v>
      </c>
      <c r="J600" s="78">
        <v>0</v>
      </c>
      <c r="K600" s="78">
        <v>0</v>
      </c>
      <c r="L600" s="36" t="e">
        <f t="shared" ca="1" si="122"/>
        <v>#N/A</v>
      </c>
      <c r="M600" s="37" t="e">
        <f t="shared" ca="1" si="120"/>
        <v>#N/A</v>
      </c>
      <c r="N600" s="37" t="e">
        <f t="shared" ca="1" si="121"/>
        <v>#N/A</v>
      </c>
      <c r="P600" s="35" t="e">
        <f t="shared" ca="1" si="129"/>
        <v>#N/A</v>
      </c>
      <c r="Q600" s="59" t="e">
        <f t="shared" ca="1" si="123"/>
        <v>#N/A</v>
      </c>
      <c r="R600" s="44" t="e">
        <f t="shared" ca="1" si="124"/>
        <v>#N/A</v>
      </c>
      <c r="S600" s="37" t="e">
        <f ca="1">IF(P600="","",IF(P600="Total",SUM($S$19:S599),VLOOKUP($P600,$B$12:$L664,11,FALSE)))</f>
        <v>#N/A</v>
      </c>
      <c r="T600" s="44" t="e">
        <f ca="1">IF(payfreq="Annually",IF(P600="","",IF(P600="Total",SUM($T$19:T599),Adj_Rate*$R600)),IF(payfreq="Semiannually",IF(P600="","",IF(P600="Total",SUM($T$19:T599),Adj_Rate/2*$R600)),IF(payfreq="Quarterly",IF(P600="","",IF(P600="Total",SUM($T$19:T599),Adj_Rate/4*$R600)),IF(payfreq="Monthly",IF(P600="","",IF(P600="Total",SUM($T$19:T599),Adj_Rate/12*$R600)),""))))</f>
        <v>#N/A</v>
      </c>
      <c r="U600" s="37" t="e">
        <f t="shared" ca="1" si="125"/>
        <v>#N/A</v>
      </c>
      <c r="V600" s="44" t="e">
        <f t="shared" ca="1" si="126"/>
        <v>#N/A</v>
      </c>
    </row>
    <row r="601" spans="2:22">
      <c r="B601" s="38" t="e">
        <f t="shared" ca="1" si="127"/>
        <v>#N/A</v>
      </c>
      <c r="C601" s="77" t="e">
        <f t="shared" ca="1" si="128"/>
        <v>#N/A</v>
      </c>
      <c r="D601" s="78" t="e">
        <f ca="1">+IF(AND(B601&lt;$G$7),VLOOKUP($B$1,Inventory!$A$1:$BC$500,35,FALSE),IF(AND(B601=$G$7,pmt_timing="End"),VLOOKUP($B$1,Inventory!$A$1:$BC$500,35,FALSE),0))</f>
        <v>#N/A</v>
      </c>
      <c r="E601" s="78">
        <v>0</v>
      </c>
      <c r="F601" s="78">
        <v>0</v>
      </c>
      <c r="G601" s="78">
        <v>0</v>
      </c>
      <c r="H601" s="78">
        <v>0</v>
      </c>
      <c r="I601" s="78">
        <v>0</v>
      </c>
      <c r="J601" s="78">
        <v>0</v>
      </c>
      <c r="K601" s="78">
        <v>0</v>
      </c>
      <c r="L601" s="36" t="e">
        <f t="shared" ca="1" si="122"/>
        <v>#N/A</v>
      </c>
      <c r="M601" s="37" t="e">
        <f t="shared" ca="1" si="120"/>
        <v>#N/A</v>
      </c>
      <c r="N601" s="37" t="e">
        <f t="shared" ca="1" si="121"/>
        <v>#N/A</v>
      </c>
      <c r="P601" s="35" t="e">
        <f t="shared" ca="1" si="129"/>
        <v>#N/A</v>
      </c>
      <c r="Q601" s="59" t="e">
        <f t="shared" ca="1" si="123"/>
        <v>#N/A</v>
      </c>
      <c r="R601" s="44" t="e">
        <f t="shared" ca="1" si="124"/>
        <v>#N/A</v>
      </c>
      <c r="S601" s="37" t="e">
        <f ca="1">IF(P601="","",IF(P601="Total",SUM($S$19:S600),VLOOKUP($P601,$B$12:$L665,11,FALSE)))</f>
        <v>#N/A</v>
      </c>
      <c r="T601" s="44" t="e">
        <f ca="1">IF(payfreq="Annually",IF(P601="","",IF(P601="Total",SUM($T$19:T600),Adj_Rate*$R601)),IF(payfreq="Semiannually",IF(P601="","",IF(P601="Total",SUM($T$19:T600),Adj_Rate/2*$R601)),IF(payfreq="Quarterly",IF(P601="","",IF(P601="Total",SUM($T$19:T600),Adj_Rate/4*$R601)),IF(payfreq="Monthly",IF(P601="","",IF(P601="Total",SUM($T$19:T600),Adj_Rate/12*$R601)),""))))</f>
        <v>#N/A</v>
      </c>
      <c r="U601" s="37" t="e">
        <f t="shared" ca="1" si="125"/>
        <v>#N/A</v>
      </c>
      <c r="V601" s="44" t="e">
        <f t="shared" ca="1" si="126"/>
        <v>#N/A</v>
      </c>
    </row>
    <row r="602" spans="2:22">
      <c r="B602" s="38" t="e">
        <f t="shared" ca="1" si="127"/>
        <v>#N/A</v>
      </c>
      <c r="C602" s="77" t="e">
        <f t="shared" ca="1" si="128"/>
        <v>#N/A</v>
      </c>
      <c r="D602" s="78" t="e">
        <f ca="1">+IF(AND(B602&lt;$G$7),VLOOKUP($B$1,Inventory!$A$1:$BC$500,35,FALSE),IF(AND(B602=$G$7,pmt_timing="End"),VLOOKUP($B$1,Inventory!$A$1:$BC$500,35,FALSE),0))</f>
        <v>#N/A</v>
      </c>
      <c r="E602" s="78">
        <v>0</v>
      </c>
      <c r="F602" s="78">
        <v>0</v>
      </c>
      <c r="G602" s="78">
        <v>0</v>
      </c>
      <c r="H602" s="78">
        <v>0</v>
      </c>
      <c r="I602" s="78">
        <v>0</v>
      </c>
      <c r="J602" s="78">
        <v>0</v>
      </c>
      <c r="K602" s="78">
        <v>0</v>
      </c>
      <c r="L602" s="36" t="e">
        <f t="shared" ca="1" si="122"/>
        <v>#N/A</v>
      </c>
      <c r="M602" s="37" t="e">
        <f t="shared" ca="1" si="120"/>
        <v>#N/A</v>
      </c>
      <c r="N602" s="37" t="e">
        <f t="shared" ca="1" si="121"/>
        <v>#N/A</v>
      </c>
      <c r="P602" s="35" t="e">
        <f t="shared" ca="1" si="129"/>
        <v>#N/A</v>
      </c>
      <c r="Q602" s="59" t="e">
        <f t="shared" ca="1" si="123"/>
        <v>#N/A</v>
      </c>
      <c r="R602" s="44" t="e">
        <f t="shared" ca="1" si="124"/>
        <v>#N/A</v>
      </c>
      <c r="S602" s="37" t="e">
        <f ca="1">IF(P602="","",IF(P602="Total",SUM($S$19:S601),VLOOKUP($P602,$B$12:$L666,11,FALSE)))</f>
        <v>#N/A</v>
      </c>
      <c r="T602" s="44" t="e">
        <f ca="1">IF(payfreq="Annually",IF(P602="","",IF(P602="Total",SUM($T$19:T601),Adj_Rate*$R602)),IF(payfreq="Semiannually",IF(P602="","",IF(P602="Total",SUM($T$19:T601),Adj_Rate/2*$R602)),IF(payfreq="Quarterly",IF(P602="","",IF(P602="Total",SUM($T$19:T601),Adj_Rate/4*$R602)),IF(payfreq="Monthly",IF(P602="","",IF(P602="Total",SUM($T$19:T601),Adj_Rate/12*$R602)),""))))</f>
        <v>#N/A</v>
      </c>
      <c r="U602" s="37" t="e">
        <f t="shared" ca="1" si="125"/>
        <v>#N/A</v>
      </c>
      <c r="V602" s="44" t="e">
        <f t="shared" ca="1" si="126"/>
        <v>#N/A</v>
      </c>
    </row>
    <row r="603" spans="2:22">
      <c r="B603" s="38" t="e">
        <f t="shared" ca="1" si="127"/>
        <v>#N/A</v>
      </c>
      <c r="C603" s="77" t="e">
        <f t="shared" ca="1" si="128"/>
        <v>#N/A</v>
      </c>
      <c r="D603" s="78" t="e">
        <f ca="1">+IF(AND(B603&lt;$G$7),VLOOKUP($B$1,Inventory!$A$1:$BC$500,35,FALSE),IF(AND(B603=$G$7,pmt_timing="End"),VLOOKUP($B$1,Inventory!$A$1:$BC$500,35,FALSE),0))</f>
        <v>#N/A</v>
      </c>
      <c r="E603" s="78">
        <v>0</v>
      </c>
      <c r="F603" s="78">
        <v>0</v>
      </c>
      <c r="G603" s="78">
        <v>0</v>
      </c>
      <c r="H603" s="78">
        <v>0</v>
      </c>
      <c r="I603" s="78">
        <v>0</v>
      </c>
      <c r="J603" s="78">
        <v>0</v>
      </c>
      <c r="K603" s="78">
        <v>0</v>
      </c>
      <c r="L603" s="36" t="e">
        <f t="shared" ca="1" si="122"/>
        <v>#N/A</v>
      </c>
      <c r="M603" s="37" t="e">
        <f t="shared" ca="1" si="120"/>
        <v>#N/A</v>
      </c>
      <c r="N603" s="37" t="e">
        <f t="shared" ca="1" si="121"/>
        <v>#N/A</v>
      </c>
      <c r="P603" s="35" t="e">
        <f t="shared" ca="1" si="129"/>
        <v>#N/A</v>
      </c>
      <c r="Q603" s="59" t="e">
        <f t="shared" ca="1" si="123"/>
        <v>#N/A</v>
      </c>
      <c r="R603" s="44" t="e">
        <f t="shared" ca="1" si="124"/>
        <v>#N/A</v>
      </c>
      <c r="S603" s="37" t="e">
        <f ca="1">IF(P603="","",IF(P603="Total",SUM($S$19:S602),VLOOKUP($P603,$B$12:$L667,11,FALSE)))</f>
        <v>#N/A</v>
      </c>
      <c r="T603" s="44" t="e">
        <f ca="1">IF(payfreq="Annually",IF(P603="","",IF(P603="Total",SUM($T$19:T602),Adj_Rate*$R603)),IF(payfreq="Semiannually",IF(P603="","",IF(P603="Total",SUM($T$19:T602),Adj_Rate/2*$R603)),IF(payfreq="Quarterly",IF(P603="","",IF(P603="Total",SUM($T$19:T602),Adj_Rate/4*$R603)),IF(payfreq="Monthly",IF(P603="","",IF(P603="Total",SUM($T$19:T602),Adj_Rate/12*$R603)),""))))</f>
        <v>#N/A</v>
      </c>
      <c r="U603" s="37" t="e">
        <f t="shared" ca="1" si="125"/>
        <v>#N/A</v>
      </c>
      <c r="V603" s="44" t="e">
        <f t="shared" ca="1" si="126"/>
        <v>#N/A</v>
      </c>
    </row>
    <row r="604" spans="2:22">
      <c r="B604" s="38" t="e">
        <f t="shared" ca="1" si="127"/>
        <v>#N/A</v>
      </c>
      <c r="C604" s="77" t="e">
        <f t="shared" ca="1" si="128"/>
        <v>#N/A</v>
      </c>
      <c r="D604" s="78" t="e">
        <f ca="1">+IF(AND(B604&lt;$G$7),VLOOKUP($B$1,Inventory!$A$1:$BC$500,35,FALSE),IF(AND(B604=$G$7,pmt_timing="End"),VLOOKUP($B$1,Inventory!$A$1:$BC$500,35,FALSE),0))</f>
        <v>#N/A</v>
      </c>
      <c r="E604" s="78">
        <v>0</v>
      </c>
      <c r="F604" s="78">
        <v>0</v>
      </c>
      <c r="G604" s="78">
        <v>0</v>
      </c>
      <c r="H604" s="78">
        <v>0</v>
      </c>
      <c r="I604" s="78">
        <v>0</v>
      </c>
      <c r="J604" s="78">
        <v>0</v>
      </c>
      <c r="K604" s="78">
        <v>0</v>
      </c>
      <c r="L604" s="36" t="e">
        <f t="shared" ca="1" si="122"/>
        <v>#N/A</v>
      </c>
      <c r="M604" s="37" t="e">
        <f t="shared" ref="M604:M613" ca="1" si="130">IF(pmt_timing="End",IF($B604&gt;term, "",$L604/(1+Adj_Rate/12)^B604),"")</f>
        <v>#N/A</v>
      </c>
      <c r="N604" s="37" t="e">
        <f t="shared" ca="1" si="121"/>
        <v>#N/A</v>
      </c>
      <c r="P604" s="35" t="e">
        <f t="shared" ca="1" si="129"/>
        <v>#N/A</v>
      </c>
      <c r="Q604" s="59" t="e">
        <f t="shared" ca="1" si="123"/>
        <v>#N/A</v>
      </c>
      <c r="R604" s="44" t="e">
        <f t="shared" ca="1" si="124"/>
        <v>#N/A</v>
      </c>
      <c r="S604" s="37" t="e">
        <f ca="1">IF(P604="","",IF(P604="Total",SUM($S$19:S603),VLOOKUP($P604,$B$12:$L668,11,FALSE)))</f>
        <v>#N/A</v>
      </c>
      <c r="T604" s="44" t="e">
        <f ca="1">IF(payfreq="Annually",IF(P604="","",IF(P604="Total",SUM($T$19:T603),Adj_Rate*$R604)),IF(payfreq="Semiannually",IF(P604="","",IF(P604="Total",SUM($T$19:T603),Adj_Rate/2*$R604)),IF(payfreq="Quarterly",IF(P604="","",IF(P604="Total",SUM($T$19:T603),Adj_Rate/4*$R604)),IF(payfreq="Monthly",IF(P604="","",IF(P604="Total",SUM($T$19:T603),Adj_Rate/12*$R604)),""))))</f>
        <v>#N/A</v>
      </c>
      <c r="U604" s="37" t="e">
        <f t="shared" ca="1" si="125"/>
        <v>#N/A</v>
      </c>
      <c r="V604" s="44" t="e">
        <f t="shared" ca="1" si="126"/>
        <v>#N/A</v>
      </c>
    </row>
    <row r="605" spans="2:22">
      <c r="B605" s="38" t="e">
        <f t="shared" ca="1" si="127"/>
        <v>#N/A</v>
      </c>
      <c r="C605" s="77" t="e">
        <f t="shared" ca="1" si="128"/>
        <v>#N/A</v>
      </c>
      <c r="D605" s="78" t="e">
        <f ca="1">+IF(AND(B605&lt;$G$7),VLOOKUP($B$1,Inventory!$A$1:$BC$500,35,FALSE),IF(AND(B605=$G$7,pmt_timing="End"),VLOOKUP($B$1,Inventory!$A$1:$BC$500,35,FALSE),0))</f>
        <v>#N/A</v>
      </c>
      <c r="E605" s="78">
        <v>0</v>
      </c>
      <c r="F605" s="78">
        <v>0</v>
      </c>
      <c r="G605" s="78">
        <v>0</v>
      </c>
      <c r="H605" s="78">
        <v>0</v>
      </c>
      <c r="I605" s="78">
        <v>0</v>
      </c>
      <c r="J605" s="78">
        <v>0</v>
      </c>
      <c r="K605" s="78">
        <v>0</v>
      </c>
      <c r="L605" s="36" t="e">
        <f t="shared" ca="1" si="122"/>
        <v>#N/A</v>
      </c>
      <c r="M605" s="37" t="e">
        <f t="shared" ca="1" si="130"/>
        <v>#N/A</v>
      </c>
      <c r="N605" s="37" t="e">
        <f t="shared" ca="1" si="121"/>
        <v>#N/A</v>
      </c>
      <c r="P605" s="35" t="e">
        <f t="shared" ca="1" si="129"/>
        <v>#N/A</v>
      </c>
      <c r="Q605" s="59" t="e">
        <f t="shared" ca="1" si="123"/>
        <v>#N/A</v>
      </c>
      <c r="R605" s="44" t="e">
        <f t="shared" ca="1" si="124"/>
        <v>#N/A</v>
      </c>
      <c r="S605" s="37" t="e">
        <f ca="1">IF(P605="","",IF(P605="Total",SUM($S$19:S604),VLOOKUP($P605,$B$12:$L669,11,FALSE)))</f>
        <v>#N/A</v>
      </c>
      <c r="T605" s="44" t="e">
        <f ca="1">IF(payfreq="Annually",IF(P605="","",IF(P605="Total",SUM($T$19:T604),Adj_Rate*$R605)),IF(payfreq="Semiannually",IF(P605="","",IF(P605="Total",SUM($T$19:T604),Adj_Rate/2*$R605)),IF(payfreq="Quarterly",IF(P605="","",IF(P605="Total",SUM($T$19:T604),Adj_Rate/4*$R605)),IF(payfreq="Monthly",IF(P605="","",IF(P605="Total",SUM($T$19:T604),Adj_Rate/12*$R605)),""))))</f>
        <v>#N/A</v>
      </c>
      <c r="U605" s="37" t="e">
        <f t="shared" ca="1" si="125"/>
        <v>#N/A</v>
      </c>
      <c r="V605" s="44" t="e">
        <f t="shared" ca="1" si="126"/>
        <v>#N/A</v>
      </c>
    </row>
    <row r="606" spans="2:22">
      <c r="B606" s="38" t="e">
        <f t="shared" ca="1" si="127"/>
        <v>#N/A</v>
      </c>
      <c r="C606" s="77" t="e">
        <f t="shared" ca="1" si="128"/>
        <v>#N/A</v>
      </c>
      <c r="D606" s="78" t="e">
        <f ca="1">+IF(AND(B606&lt;$G$7),VLOOKUP($B$1,Inventory!$A$1:$BC$500,35,FALSE),IF(AND(B606=$G$7,pmt_timing="End"),VLOOKUP($B$1,Inventory!$A$1:$BC$500,35,FALSE),0))</f>
        <v>#N/A</v>
      </c>
      <c r="E606" s="78">
        <v>0</v>
      </c>
      <c r="F606" s="78">
        <v>0</v>
      </c>
      <c r="G606" s="78">
        <v>0</v>
      </c>
      <c r="H606" s="78">
        <v>0</v>
      </c>
      <c r="I606" s="78">
        <v>0</v>
      </c>
      <c r="J606" s="78">
        <v>0</v>
      </c>
      <c r="K606" s="78">
        <v>0</v>
      </c>
      <c r="L606" s="36" t="e">
        <f t="shared" ref="L606:L613" ca="1" si="131">SUM(D606:K606)</f>
        <v>#N/A</v>
      </c>
      <c r="M606" s="37" t="e">
        <f t="shared" ca="1" si="130"/>
        <v>#N/A</v>
      </c>
      <c r="N606" s="37" t="e">
        <f t="shared" ca="1" si="121"/>
        <v>#N/A</v>
      </c>
      <c r="P606" s="35" t="e">
        <f t="shared" ca="1" si="129"/>
        <v>#N/A</v>
      </c>
      <c r="Q606" s="59" t="e">
        <f t="shared" ca="1" si="123"/>
        <v>#N/A</v>
      </c>
      <c r="R606" s="44" t="e">
        <f t="shared" ref="R606:R613" ca="1" si="132">IF(OR(P606="",P606="Total"),"",V605)</f>
        <v>#N/A</v>
      </c>
      <c r="S606" s="37" t="e">
        <f ca="1">IF(P606="","",IF(P606="Total",SUM($S$19:S605),VLOOKUP($P606,$B$12:$L670,11,FALSE)))</f>
        <v>#N/A</v>
      </c>
      <c r="T606" s="44" t="e">
        <f ca="1">IF(payfreq="Annually",IF(P606="","",IF(P606="Total",SUM($T$19:T605),Adj_Rate*$R606)),IF(payfreq="Semiannually",IF(P606="","",IF(P606="Total",SUM($T$19:T605),Adj_Rate/2*$R606)),IF(payfreq="Quarterly",IF(P606="","",IF(P606="Total",SUM($T$19:T605),Adj_Rate/4*$R606)),IF(payfreq="Monthly",IF(P606="","",IF(P606="Total",SUM($T$19:T605),Adj_Rate/12*$R606)),""))))</f>
        <v>#N/A</v>
      </c>
      <c r="U606" s="37" t="e">
        <f t="shared" ref="U606:U613" ca="1" si="133">+IF(S606="","",S606-T606)</f>
        <v>#N/A</v>
      </c>
      <c r="V606" s="44" t="e">
        <f t="shared" ref="V606:V613" ca="1" si="134">IF(OR(P606="",P606="Total"),"",R606+T606-S606)</f>
        <v>#N/A</v>
      </c>
    </row>
    <row r="607" spans="2:22">
      <c r="B607" s="38" t="e">
        <f t="shared" ca="1" si="127"/>
        <v>#N/A</v>
      </c>
      <c r="C607" s="77" t="e">
        <f t="shared" ca="1" si="128"/>
        <v>#N/A</v>
      </c>
      <c r="D607" s="78" t="e">
        <f ca="1">+IF(AND(B607&lt;$G$7),VLOOKUP($B$1,Inventory!$A$1:$BC$500,35,FALSE),IF(AND(B607=$G$7,pmt_timing="End"),VLOOKUP($B$1,Inventory!$A$1:$BC$500,35,FALSE),0))</f>
        <v>#N/A</v>
      </c>
      <c r="E607" s="78">
        <v>0</v>
      </c>
      <c r="F607" s="78">
        <v>0</v>
      </c>
      <c r="G607" s="78">
        <v>0</v>
      </c>
      <c r="H607" s="78">
        <v>0</v>
      </c>
      <c r="I607" s="78">
        <v>0</v>
      </c>
      <c r="J607" s="78">
        <v>0</v>
      </c>
      <c r="K607" s="78">
        <v>0</v>
      </c>
      <c r="L607" s="36" t="e">
        <f t="shared" ca="1" si="131"/>
        <v>#N/A</v>
      </c>
      <c r="M607" s="37" t="e">
        <f t="shared" ca="1" si="130"/>
        <v>#N/A</v>
      </c>
      <c r="N607" s="37" t="e">
        <f t="shared" ca="1" si="121"/>
        <v>#N/A</v>
      </c>
      <c r="P607" s="35" t="e">
        <f t="shared" ca="1" si="129"/>
        <v>#N/A</v>
      </c>
      <c r="Q607" s="59" t="e">
        <f t="shared" ca="1" si="123"/>
        <v>#N/A</v>
      </c>
      <c r="R607" s="44" t="e">
        <f t="shared" ca="1" si="132"/>
        <v>#N/A</v>
      </c>
      <c r="S607" s="37" t="e">
        <f ca="1">IF(P607="","",IF(P607="Total",SUM($S$19:S606),VLOOKUP($P607,$B$12:$L671,11,FALSE)))</f>
        <v>#N/A</v>
      </c>
      <c r="T607" s="44" t="e">
        <f ca="1">IF(payfreq="Annually",IF(P607="","",IF(P607="Total",SUM($T$19:T606),Adj_Rate*$R607)),IF(payfreq="Semiannually",IF(P607="","",IF(P607="Total",SUM($T$19:T606),Adj_Rate/2*$R607)),IF(payfreq="Quarterly",IF(P607="","",IF(P607="Total",SUM($T$19:T606),Adj_Rate/4*$R607)),IF(payfreq="Monthly",IF(P607="","",IF(P607="Total",SUM($T$19:T606),Adj_Rate/12*$R607)),""))))</f>
        <v>#N/A</v>
      </c>
      <c r="U607" s="37" t="e">
        <f t="shared" ca="1" si="133"/>
        <v>#N/A</v>
      </c>
      <c r="V607" s="44" t="e">
        <f t="shared" ca="1" si="134"/>
        <v>#N/A</v>
      </c>
    </row>
    <row r="608" spans="2:22">
      <c r="B608" s="38" t="e">
        <f t="shared" ca="1" si="127"/>
        <v>#N/A</v>
      </c>
      <c r="C608" s="77" t="e">
        <f t="shared" ca="1" si="128"/>
        <v>#N/A</v>
      </c>
      <c r="D608" s="78" t="e">
        <f ca="1">+IF(AND(B608&lt;$G$7),VLOOKUP($B$1,Inventory!$A$1:$BC$500,35,FALSE),IF(AND(B608=$G$7,pmt_timing="End"),VLOOKUP($B$1,Inventory!$A$1:$BC$500,35,FALSE),0))</f>
        <v>#N/A</v>
      </c>
      <c r="E608" s="78">
        <v>0</v>
      </c>
      <c r="F608" s="78">
        <v>0</v>
      </c>
      <c r="G608" s="78">
        <v>0</v>
      </c>
      <c r="H608" s="78">
        <v>0</v>
      </c>
      <c r="I608" s="78">
        <v>0</v>
      </c>
      <c r="J608" s="78">
        <v>0</v>
      </c>
      <c r="K608" s="78">
        <v>0</v>
      </c>
      <c r="L608" s="36" t="e">
        <f t="shared" ca="1" si="131"/>
        <v>#N/A</v>
      </c>
      <c r="M608" s="37" t="e">
        <f t="shared" ca="1" si="130"/>
        <v>#N/A</v>
      </c>
      <c r="N608" s="37" t="e">
        <f t="shared" ca="1" si="121"/>
        <v>#N/A</v>
      </c>
      <c r="P608" s="35" t="e">
        <f t="shared" ca="1" si="129"/>
        <v>#N/A</v>
      </c>
      <c r="Q608" s="59" t="e">
        <f t="shared" ca="1" si="123"/>
        <v>#N/A</v>
      </c>
      <c r="R608" s="44" t="e">
        <f t="shared" ca="1" si="132"/>
        <v>#N/A</v>
      </c>
      <c r="S608" s="37" t="e">
        <f ca="1">IF(P608="","",IF(P608="Total",SUM($S$19:S607),VLOOKUP($P608,$B$12:$L672,11,FALSE)))</f>
        <v>#N/A</v>
      </c>
      <c r="T608" s="44" t="e">
        <f ca="1">IF(payfreq="Annually",IF(P608="","",IF(P608="Total",SUM($T$19:T607),Adj_Rate*$R608)),IF(payfreq="Semiannually",IF(P608="","",IF(P608="Total",SUM($T$19:T607),Adj_Rate/2*$R608)),IF(payfreq="Quarterly",IF(P608="","",IF(P608="Total",SUM($T$19:T607),Adj_Rate/4*$R608)),IF(payfreq="Monthly",IF(P608="","",IF(P608="Total",SUM($T$19:T607),Adj_Rate/12*$R608)),""))))</f>
        <v>#N/A</v>
      </c>
      <c r="U608" s="37" t="e">
        <f t="shared" ca="1" si="133"/>
        <v>#N/A</v>
      </c>
      <c r="V608" s="44" t="e">
        <f t="shared" ca="1" si="134"/>
        <v>#N/A</v>
      </c>
    </row>
    <row r="609" spans="2:22">
      <c r="B609" s="38" t="e">
        <f t="shared" ca="1" si="127"/>
        <v>#N/A</v>
      </c>
      <c r="C609" s="77" t="e">
        <f t="shared" ca="1" si="128"/>
        <v>#N/A</v>
      </c>
      <c r="D609" s="78" t="e">
        <f ca="1">+IF(AND(B609&lt;$G$7),VLOOKUP($B$1,Inventory!$A$1:$BC$500,35,FALSE),IF(AND(B609=$G$7,pmt_timing="End"),VLOOKUP($B$1,Inventory!$A$1:$BC$500,35,FALSE),0))</f>
        <v>#N/A</v>
      </c>
      <c r="E609" s="78">
        <v>0</v>
      </c>
      <c r="F609" s="78">
        <v>0</v>
      </c>
      <c r="G609" s="78">
        <v>0</v>
      </c>
      <c r="H609" s="78">
        <v>0</v>
      </c>
      <c r="I609" s="78">
        <v>0</v>
      </c>
      <c r="J609" s="78">
        <v>0</v>
      </c>
      <c r="K609" s="78">
        <v>0</v>
      </c>
      <c r="L609" s="36" t="e">
        <f t="shared" ca="1" si="131"/>
        <v>#N/A</v>
      </c>
      <c r="M609" s="37" t="e">
        <f t="shared" ca="1" si="130"/>
        <v>#N/A</v>
      </c>
      <c r="N609" s="37" t="e">
        <f t="shared" ca="1" si="121"/>
        <v>#N/A</v>
      </c>
      <c r="P609" s="35" t="e">
        <f t="shared" ca="1" si="129"/>
        <v>#N/A</v>
      </c>
      <c r="Q609" s="59" t="e">
        <f t="shared" ca="1" si="123"/>
        <v>#N/A</v>
      </c>
      <c r="R609" s="44" t="e">
        <f t="shared" ca="1" si="132"/>
        <v>#N/A</v>
      </c>
      <c r="S609" s="37" t="e">
        <f ca="1">IF(P609="","",IF(P609="Total",SUM($S$19:S608),VLOOKUP($P609,$B$12:$L673,11,FALSE)))</f>
        <v>#N/A</v>
      </c>
      <c r="T609" s="44" t="e">
        <f ca="1">IF(payfreq="Annually",IF(P609="","",IF(P609="Total",SUM($T$19:T608),Adj_Rate*$R609)),IF(payfreq="Semiannually",IF(P609="","",IF(P609="Total",SUM($T$19:T608),Adj_Rate/2*$R609)),IF(payfreq="Quarterly",IF(P609="","",IF(P609="Total",SUM($T$19:T608),Adj_Rate/4*$R609)),IF(payfreq="Monthly",IF(P609="","",IF(P609="Total",SUM($T$19:T608),Adj_Rate/12*$R609)),""))))</f>
        <v>#N/A</v>
      </c>
      <c r="U609" s="37" t="e">
        <f t="shared" ca="1" si="133"/>
        <v>#N/A</v>
      </c>
      <c r="V609" s="44" t="e">
        <f t="shared" ca="1" si="134"/>
        <v>#N/A</v>
      </c>
    </row>
    <row r="610" spans="2:22">
      <c r="B610" s="38" t="e">
        <f t="shared" ca="1" si="127"/>
        <v>#N/A</v>
      </c>
      <c r="C610" s="77" t="e">
        <f t="shared" ca="1" si="128"/>
        <v>#N/A</v>
      </c>
      <c r="D610" s="78" t="e">
        <f ca="1">+IF(AND(B610&lt;$G$7),VLOOKUP($B$1,Inventory!$A$1:$BC$500,35,FALSE),IF(AND(B610=$G$7,pmt_timing="End"),VLOOKUP($B$1,Inventory!$A$1:$BC$500,35,FALSE),0))</f>
        <v>#N/A</v>
      </c>
      <c r="E610" s="78">
        <v>0</v>
      </c>
      <c r="F610" s="78">
        <v>0</v>
      </c>
      <c r="G610" s="78">
        <v>0</v>
      </c>
      <c r="H610" s="78">
        <v>0</v>
      </c>
      <c r="I610" s="78">
        <v>0</v>
      </c>
      <c r="J610" s="78">
        <v>0</v>
      </c>
      <c r="K610" s="78">
        <v>0</v>
      </c>
      <c r="L610" s="36" t="e">
        <f t="shared" ca="1" si="131"/>
        <v>#N/A</v>
      </c>
      <c r="M610" s="37" t="e">
        <f t="shared" ca="1" si="130"/>
        <v>#N/A</v>
      </c>
      <c r="N610" s="37" t="e">
        <f t="shared" ca="1" si="121"/>
        <v>#N/A</v>
      </c>
      <c r="P610" s="35" t="e">
        <f t="shared" ca="1" si="129"/>
        <v>#N/A</v>
      </c>
      <c r="Q610" s="59" t="e">
        <f t="shared" ca="1" si="123"/>
        <v>#N/A</v>
      </c>
      <c r="R610" s="44" t="e">
        <f t="shared" ca="1" si="132"/>
        <v>#N/A</v>
      </c>
      <c r="S610" s="37" t="e">
        <f ca="1">IF(P610="","",IF(P610="Total",SUM($S$19:S609),VLOOKUP($P610,$B$12:$L674,11,FALSE)))</f>
        <v>#N/A</v>
      </c>
      <c r="T610" s="44" t="e">
        <f ca="1">IF(payfreq="Annually",IF(P610="","",IF(P610="Total",SUM($T$19:T609),Adj_Rate*$R610)),IF(payfreq="Semiannually",IF(P610="","",IF(P610="Total",SUM($T$19:T609),Adj_Rate/2*$R610)),IF(payfreq="Quarterly",IF(P610="","",IF(P610="Total",SUM($T$19:T609),Adj_Rate/4*$R610)),IF(payfreq="Monthly",IF(P610="","",IF(P610="Total",SUM($T$19:T609),Adj_Rate/12*$R610)),""))))</f>
        <v>#N/A</v>
      </c>
      <c r="U610" s="37" t="e">
        <f t="shared" ca="1" si="133"/>
        <v>#N/A</v>
      </c>
      <c r="V610" s="44" t="e">
        <f t="shared" ca="1" si="134"/>
        <v>#N/A</v>
      </c>
    </row>
    <row r="611" spans="2:22">
      <c r="B611" s="38" t="e">
        <f t="shared" ca="1" si="127"/>
        <v>#N/A</v>
      </c>
      <c r="C611" s="77" t="e">
        <f t="shared" ca="1" si="128"/>
        <v>#N/A</v>
      </c>
      <c r="D611" s="78" t="e">
        <f ca="1">+IF(AND(B611&lt;$G$7),VLOOKUP($B$1,Inventory!$A$1:$BC$500,35,FALSE),IF(AND(B611=$G$7,pmt_timing="End"),VLOOKUP($B$1,Inventory!$A$1:$BC$500,35,FALSE),0))</f>
        <v>#N/A</v>
      </c>
      <c r="E611" s="78">
        <v>0</v>
      </c>
      <c r="F611" s="78">
        <v>0</v>
      </c>
      <c r="G611" s="78">
        <v>0</v>
      </c>
      <c r="H611" s="78">
        <v>0</v>
      </c>
      <c r="I611" s="78">
        <v>0</v>
      </c>
      <c r="J611" s="78">
        <v>0</v>
      </c>
      <c r="K611" s="78">
        <v>0</v>
      </c>
      <c r="L611" s="36" t="e">
        <f t="shared" ca="1" si="131"/>
        <v>#N/A</v>
      </c>
      <c r="M611" s="37" t="e">
        <f t="shared" ca="1" si="130"/>
        <v>#N/A</v>
      </c>
      <c r="N611" s="37" t="e">
        <f t="shared" ca="1" si="121"/>
        <v>#N/A</v>
      </c>
      <c r="P611" s="35" t="e">
        <f t="shared" ca="1" si="129"/>
        <v>#N/A</v>
      </c>
      <c r="Q611" s="59" t="e">
        <f t="shared" ca="1" si="123"/>
        <v>#N/A</v>
      </c>
      <c r="R611" s="44" t="e">
        <f t="shared" ca="1" si="132"/>
        <v>#N/A</v>
      </c>
      <c r="S611" s="37" t="e">
        <f ca="1">IF(P611="","",IF(P611="Total",SUM($S$19:S610),VLOOKUP($P611,$B$12:$L675,11,FALSE)))</f>
        <v>#N/A</v>
      </c>
      <c r="T611" s="44" t="e">
        <f ca="1">IF(payfreq="Annually",IF(P611="","",IF(P611="Total",SUM($T$19:T610),Adj_Rate*$R611)),IF(payfreq="Semiannually",IF(P611="","",IF(P611="Total",SUM($T$19:T610),Adj_Rate/2*$R611)),IF(payfreq="Quarterly",IF(P611="","",IF(P611="Total",SUM($T$19:T610),Adj_Rate/4*$R611)),IF(payfreq="Monthly",IF(P611="","",IF(P611="Total",SUM($T$19:T610),Adj_Rate/12*$R611)),""))))</f>
        <v>#N/A</v>
      </c>
      <c r="U611" s="37" t="e">
        <f t="shared" ca="1" si="133"/>
        <v>#N/A</v>
      </c>
      <c r="V611" s="44" t="e">
        <f t="shared" ca="1" si="134"/>
        <v>#N/A</v>
      </c>
    </row>
    <row r="612" spans="2:22">
      <c r="B612" s="38" t="e">
        <f t="shared" ca="1" si="127"/>
        <v>#N/A</v>
      </c>
      <c r="C612" s="77" t="e">
        <f t="shared" ca="1" si="128"/>
        <v>#N/A</v>
      </c>
      <c r="D612" s="78" t="e">
        <f ca="1">+IF(AND(B612&lt;$G$7),VLOOKUP($B$1,Inventory!$A$1:$BC$500,35,FALSE),IF(AND(B612=$G$7,pmt_timing="End"),VLOOKUP($B$1,Inventory!$A$1:$BC$500,35,FALSE),0))</f>
        <v>#N/A</v>
      </c>
      <c r="E612" s="78">
        <v>0</v>
      </c>
      <c r="F612" s="78">
        <v>0</v>
      </c>
      <c r="G612" s="78">
        <v>0</v>
      </c>
      <c r="H612" s="78">
        <v>0</v>
      </c>
      <c r="I612" s="78">
        <v>0</v>
      </c>
      <c r="J612" s="78">
        <v>0</v>
      </c>
      <c r="K612" s="78">
        <v>0</v>
      </c>
      <c r="L612" s="36" t="e">
        <f t="shared" ca="1" si="131"/>
        <v>#N/A</v>
      </c>
      <c r="M612" s="37" t="e">
        <f t="shared" ca="1" si="130"/>
        <v>#N/A</v>
      </c>
      <c r="N612" s="37" t="e">
        <f t="shared" ca="1" si="121"/>
        <v>#N/A</v>
      </c>
      <c r="P612" s="35" t="e">
        <f t="shared" ca="1" si="129"/>
        <v>#N/A</v>
      </c>
      <c r="Q612" s="59" t="e">
        <f t="shared" ca="1" si="123"/>
        <v>#N/A</v>
      </c>
      <c r="R612" s="44" t="e">
        <f t="shared" ca="1" si="132"/>
        <v>#N/A</v>
      </c>
      <c r="S612" s="37" t="e">
        <f ca="1">IF(P612="","",IF(P612="Total",SUM($S$19:S611),VLOOKUP($P612,$B$12:$L676,11,FALSE)))</f>
        <v>#N/A</v>
      </c>
      <c r="T612" s="44" t="e">
        <f ca="1">IF(payfreq="Annually",IF(P612="","",IF(P612="Total",SUM($T$19:T611),Adj_Rate*$R612)),IF(payfreq="Semiannually",IF(P612="","",IF(P612="Total",SUM($T$19:T611),Adj_Rate/2*$R612)),IF(payfreq="Quarterly",IF(P612="","",IF(P612="Total",SUM($T$19:T611),Adj_Rate/4*$R612)),IF(payfreq="Monthly",IF(P612="","",IF(P612="Total",SUM($T$19:T611),Adj_Rate/12*$R612)),""))))</f>
        <v>#N/A</v>
      </c>
      <c r="U612" s="37" t="e">
        <f t="shared" ca="1" si="133"/>
        <v>#N/A</v>
      </c>
      <c r="V612" s="44" t="e">
        <f t="shared" ca="1" si="134"/>
        <v>#N/A</v>
      </c>
    </row>
    <row r="613" spans="2:22">
      <c r="B613" s="38" t="e">
        <f t="shared" ca="1" si="127"/>
        <v>#N/A</v>
      </c>
      <c r="C613" s="77" t="e">
        <f t="shared" ca="1" si="128"/>
        <v>#N/A</v>
      </c>
      <c r="D613" s="78" t="e">
        <f ca="1">+IF(AND(B613&lt;$G$7),VLOOKUP($B$1,Inventory!$A$1:$BC$500,35,FALSE),IF(AND(B613=$G$7,pmt_timing="End"),VLOOKUP($B$1,Inventory!$A$1:$BC$500,35,FALSE),0))</f>
        <v>#N/A</v>
      </c>
      <c r="E613" s="78">
        <v>0</v>
      </c>
      <c r="F613" s="78">
        <v>0</v>
      </c>
      <c r="G613" s="78">
        <v>0</v>
      </c>
      <c r="H613" s="78">
        <v>0</v>
      </c>
      <c r="I613" s="78">
        <v>0</v>
      </c>
      <c r="J613" s="78">
        <v>0</v>
      </c>
      <c r="K613" s="78">
        <v>0</v>
      </c>
      <c r="L613" s="36" t="e">
        <f t="shared" ca="1" si="131"/>
        <v>#N/A</v>
      </c>
      <c r="M613" s="37" t="e">
        <f t="shared" ca="1" si="130"/>
        <v>#N/A</v>
      </c>
      <c r="N613" s="37" t="e">
        <f t="shared" ca="1" si="121"/>
        <v>#N/A</v>
      </c>
      <c r="P613" s="35" t="e">
        <f t="shared" ca="1" si="129"/>
        <v>#N/A</v>
      </c>
      <c r="Q613" s="59" t="e">
        <f t="shared" ca="1" si="123"/>
        <v>#N/A</v>
      </c>
      <c r="R613" s="44" t="e">
        <f t="shared" ca="1" si="132"/>
        <v>#N/A</v>
      </c>
      <c r="S613" s="37" t="e">
        <f ca="1">IF(P613="","",IF(P613="Total",SUM($S$19:S612),VLOOKUP($P613,$B$12:$L677,11,FALSE)))</f>
        <v>#N/A</v>
      </c>
      <c r="T613" s="44" t="e">
        <f ca="1">IF(payfreq="Annually",IF(P613="","",IF(P613="Total",SUM($T$19:T612),Adj_Rate*$R613)),IF(payfreq="Semiannually",IF(P613="","",IF(P613="Total",SUM($T$19:T612),Adj_Rate/2*$R613)),IF(payfreq="Quarterly",IF(P613="","",IF(P613="Total",SUM($T$19:T612),Adj_Rate/4*$R613)),IF(payfreq="Monthly",IF(P613="","",IF(P613="Total",SUM($T$19:T612),Adj_Rate/12*$R613)),""))))</f>
        <v>#N/A</v>
      </c>
      <c r="U613" s="37" t="e">
        <f t="shared" ca="1" si="133"/>
        <v>#N/A</v>
      </c>
      <c r="V613" s="44" t="e">
        <f t="shared" ca="1" si="134"/>
        <v>#N/A</v>
      </c>
    </row>
    <row r="614" spans="2:22" ht="14.25" customHeight="1">
      <c r="B614" s="38" t="e">
        <f t="shared" ca="1" si="127"/>
        <v>#N/A</v>
      </c>
      <c r="C614" s="77" t="e">
        <f t="shared" ca="1" si="128"/>
        <v>#N/A</v>
      </c>
      <c r="D614" s="78" t="e">
        <f ca="1">+IF(AND(B614&lt;$G$7),VLOOKUP($B$1,Inventory!$A$1:$BC$500,35,FALSE),IF(AND(B614=$G$7,pmt_timing="End"),VLOOKUP($B$1,Inventory!$A$1:$BC$500,35,FALSE),0))</f>
        <v>#N/A</v>
      </c>
      <c r="E614" s="78">
        <v>0</v>
      </c>
      <c r="F614" s="78">
        <v>0</v>
      </c>
      <c r="G614" s="78">
        <v>0</v>
      </c>
      <c r="H614" s="78">
        <v>0</v>
      </c>
      <c r="I614" s="78">
        <v>0</v>
      </c>
      <c r="J614" s="78">
        <v>0</v>
      </c>
      <c r="K614" s="78">
        <v>0</v>
      </c>
      <c r="L614" s="36" t="e">
        <f t="shared" ca="1" si="122"/>
        <v>#N/A</v>
      </c>
      <c r="M614" s="37" t="e">
        <f t="shared" ca="1" si="120"/>
        <v>#N/A</v>
      </c>
      <c r="N614" s="37" t="e">
        <f t="shared" ca="1" si="121"/>
        <v>#N/A</v>
      </c>
      <c r="P614" s="35" t="e">
        <f t="shared" ca="1" si="129"/>
        <v>#N/A</v>
      </c>
      <c r="Q614" s="59" t="e">
        <f t="shared" ca="1" si="123"/>
        <v>#N/A</v>
      </c>
      <c r="R614" s="44" t="e">
        <f ca="1">IF(OR(P614="",P614="Total"),"",V613)</f>
        <v>#N/A</v>
      </c>
      <c r="S614" s="37" t="e">
        <f ca="1">IF(P614="","",IF(P614="Total",SUM($S$19:S613),VLOOKUP($P614,$B$12:$L678,11,FALSE)))</f>
        <v>#N/A</v>
      </c>
      <c r="T614" s="44" t="e">
        <f ca="1">IF(payfreq="Annually",IF(P614="","",IF(P614="Total",SUM($T$19:T613),Adj_Rate*$R614)),IF(payfreq="Semiannually",IF(P614="","",IF(P614="Total",SUM($T$19:T613),Adj_Rate/2*$R614)),IF(payfreq="Quarterly",IF(P614="","",IF(P614="Total",SUM($T$19:T613),Adj_Rate/4*$R614)),IF(payfreq="Monthly",IF(P614="","",IF(P614="Total",SUM($T$19:T613),Adj_Rate/12*$R614)),""))))</f>
        <v>#N/A</v>
      </c>
      <c r="U614" s="37" t="e">
        <f t="shared" ca="1" si="125"/>
        <v>#N/A</v>
      </c>
      <c r="V614" s="44" t="e">
        <f t="shared" ca="1" si="126"/>
        <v>#N/A</v>
      </c>
    </row>
    <row r="615" spans="2:22">
      <c r="B615" s="38" t="e">
        <f t="shared" ca="1" si="127"/>
        <v>#N/A</v>
      </c>
      <c r="C615" s="77" t="e">
        <f t="shared" ca="1" si="128"/>
        <v>#N/A</v>
      </c>
      <c r="D615" s="78" t="e">
        <f ca="1">+IF(AND(B615&lt;$G$7),VLOOKUP($B$1,Inventory!$A$1:$BC$500,35,FALSE),IF(AND(B615=$G$7,pmt_timing="End"),VLOOKUP($B$1,Inventory!$A$1:$BC$500,35,FALSE),0))</f>
        <v>#N/A</v>
      </c>
      <c r="E615" s="78">
        <v>0</v>
      </c>
      <c r="F615" s="78">
        <v>0</v>
      </c>
      <c r="G615" s="78">
        <v>0</v>
      </c>
      <c r="H615" s="78">
        <v>0</v>
      </c>
      <c r="I615" s="78">
        <v>0</v>
      </c>
      <c r="J615" s="78">
        <v>0</v>
      </c>
      <c r="K615" s="78">
        <v>0</v>
      </c>
      <c r="L615" s="36" t="e">
        <f t="shared" ca="1" si="122"/>
        <v>#N/A</v>
      </c>
      <c r="M615" s="37" t="e">
        <f t="shared" ca="1" si="120"/>
        <v>#N/A</v>
      </c>
      <c r="N615" s="37" t="e">
        <f t="shared" ca="1" si="121"/>
        <v>#N/A</v>
      </c>
      <c r="P615" s="35" t="e">
        <f t="shared" ca="1" si="129"/>
        <v>#N/A</v>
      </c>
      <c r="Q615" s="59" t="e">
        <f t="shared" ca="1" si="123"/>
        <v>#N/A</v>
      </c>
      <c r="R615" s="44" t="e">
        <f ca="1">IF(OR(P615="",P615="Total"),"",V614)</f>
        <v>#N/A</v>
      </c>
      <c r="S615" s="37" t="e">
        <f ca="1">IF(P615="","",IF(P615="Total",SUM($S$19:S614),VLOOKUP($P615,$B$12:$L679,11,FALSE)))</f>
        <v>#N/A</v>
      </c>
      <c r="T615" s="44" t="e">
        <f ca="1">IF(payfreq="Annually",IF(P615="","",IF(P615="Total",SUM($T$19:T614),Adj_Rate*$R615)),IF(payfreq="Semiannually",IF(P615="","",IF(P615="Total",SUM($T$19:T614),Adj_Rate/2*$R615)),IF(payfreq="Quarterly",IF(P615="","",IF(P615="Total",SUM($T$19:T614),Adj_Rate/4*$R615)),IF(payfreq="Monthly",IF(P615="","",IF(P615="Total",SUM($T$19:T614),Adj_Rate/12*$R615)),""))))</f>
        <v>#N/A</v>
      </c>
      <c r="U615" s="37" t="e">
        <f t="shared" ref="U615" ca="1" si="135">+IF(S615="","",S615-T615)</f>
        <v>#N/A</v>
      </c>
      <c r="V615" s="44" t="e">
        <f t="shared" ref="V615" ca="1" si="136">IF(OR(P615="",P615="Total"),"",R615+T615-S615)</f>
        <v>#N/A</v>
      </c>
    </row>
    <row r="616" spans="2:22">
      <c r="B616" s="38" t="e">
        <f t="shared" ca="1" si="127"/>
        <v>#N/A</v>
      </c>
      <c r="C616" s="77" t="e">
        <f t="shared" ref="C616:C620" ca="1" si="137">IF(Q616 &lt;&gt; "",Q616, "")</f>
        <v>#N/A</v>
      </c>
      <c r="D616" s="78" t="e">
        <f ca="1">+IF(AND(B616&lt;$G$7),VLOOKUP($B$1,Inventory!$A$1:$BC$500,35,FALSE),IF(AND(B616=$G$7,pmt_timing="End"),VLOOKUP($B$1,Inventory!$A$1:$BC$500,35,FALSE),0))</f>
        <v>#N/A</v>
      </c>
      <c r="E616" s="78">
        <v>0</v>
      </c>
      <c r="F616" s="78">
        <v>0</v>
      </c>
      <c r="G616" s="78">
        <v>0</v>
      </c>
      <c r="H616" s="78">
        <v>0</v>
      </c>
      <c r="I616" s="78">
        <v>0</v>
      </c>
      <c r="J616" s="78">
        <v>0</v>
      </c>
      <c r="K616" s="78">
        <v>0</v>
      </c>
      <c r="L616" s="36" t="e">
        <f t="shared" ref="L616:L620" ca="1" si="138">SUM(D616:K616)</f>
        <v>#N/A</v>
      </c>
      <c r="M616" s="37" t="e">
        <f t="shared" ref="M616:M620" ca="1" si="139">IF(pmt_timing="End",IF($B616&gt;term, "",$L616/(1+Adj_Rate/12)^B616),"")</f>
        <v>#N/A</v>
      </c>
      <c r="N616" s="37" t="e">
        <f t="shared" ca="1" si="121"/>
        <v>#N/A</v>
      </c>
      <c r="P616" s="35" t="e">
        <f t="shared" ca="1" si="129"/>
        <v>#N/A</v>
      </c>
      <c r="Q616" s="59" t="e">
        <f t="shared" ca="1" si="123"/>
        <v>#N/A</v>
      </c>
      <c r="R616" s="44" t="e">
        <f t="shared" ref="R616:R620" ca="1" si="140">IF(OR(P616="",P616="Total"),"",V615)</f>
        <v>#N/A</v>
      </c>
      <c r="S616" s="37" t="e">
        <f ca="1">IF(P616="","",IF(P616="Total",SUM($S$19:S615),VLOOKUP($P616,$B$12:$L680,11,FALSE)))</f>
        <v>#N/A</v>
      </c>
      <c r="T616" s="44" t="e">
        <f ca="1">IF(payfreq="Annually",IF(P616="","",IF(P616="Total",SUM($T$19:T615),Adj_Rate*$R616)),IF(payfreq="Semiannually",IF(P616="","",IF(P616="Total",SUM($T$19:T615),Adj_Rate/2*$R616)),IF(payfreq="Quarterly",IF(P616="","",IF(P616="Total",SUM($T$19:T615),Adj_Rate/4*$R616)),IF(payfreq="Monthly",IF(P616="","",IF(P616="Total",SUM($T$19:T615),Adj_Rate/12*$R616)),""))))</f>
        <v>#N/A</v>
      </c>
      <c r="U616" s="37" t="e">
        <f t="shared" ref="U616:U620" ca="1" si="141">+IF(S616="","",S616-T616)</f>
        <v>#N/A</v>
      </c>
      <c r="V616" s="44" t="e">
        <f t="shared" ref="V616:V620" ca="1" si="142">IF(OR(P616="",P616="Total"),"",R616+T616-S616)</f>
        <v>#N/A</v>
      </c>
    </row>
    <row r="617" spans="2:22">
      <c r="B617" s="38" t="e">
        <f t="shared" ca="1" si="127"/>
        <v>#N/A</v>
      </c>
      <c r="C617" s="77" t="e">
        <f t="shared" ca="1" si="137"/>
        <v>#N/A</v>
      </c>
      <c r="D617" s="78" t="e">
        <f ca="1">+IF(AND(B617&lt;$G$7),VLOOKUP($B$1,Inventory!$A$1:$BC$500,35,FALSE),IF(AND(B617=$G$7,pmt_timing="End"),VLOOKUP($B$1,Inventory!$A$1:$BC$500,35,FALSE),0))</f>
        <v>#N/A</v>
      </c>
      <c r="E617" s="78">
        <v>0</v>
      </c>
      <c r="F617" s="78">
        <v>0</v>
      </c>
      <c r="G617" s="78">
        <v>0</v>
      </c>
      <c r="H617" s="78">
        <v>0</v>
      </c>
      <c r="I617" s="78">
        <v>0</v>
      </c>
      <c r="J617" s="78">
        <v>0</v>
      </c>
      <c r="K617" s="78">
        <v>0</v>
      </c>
      <c r="L617" s="36" t="e">
        <f t="shared" ca="1" si="138"/>
        <v>#N/A</v>
      </c>
      <c r="M617" s="37" t="e">
        <f t="shared" ca="1" si="139"/>
        <v>#N/A</v>
      </c>
      <c r="N617" s="37" t="e">
        <f t="shared" ca="1" si="121"/>
        <v>#N/A</v>
      </c>
      <c r="P617" s="35" t="e">
        <f t="shared" ca="1" si="129"/>
        <v>#N/A</v>
      </c>
      <c r="Q617" s="59" t="e">
        <f t="shared" ca="1" si="123"/>
        <v>#N/A</v>
      </c>
      <c r="R617" s="44" t="e">
        <f t="shared" ca="1" si="140"/>
        <v>#N/A</v>
      </c>
      <c r="S617" s="37" t="e">
        <f ca="1">IF(P617="","",IF(P617="Total",SUM($S$19:S616),VLOOKUP($P617,$B$12:$L681,11,FALSE)))</f>
        <v>#N/A</v>
      </c>
      <c r="T617" s="44" t="e">
        <f ca="1">IF(payfreq="Annually",IF(P617="","",IF(P617="Total",SUM($T$19:T616),Adj_Rate*$R617)),IF(payfreq="Semiannually",IF(P617="","",IF(P617="Total",SUM($T$19:T616),Adj_Rate/2*$R617)),IF(payfreq="Quarterly",IF(P617="","",IF(P617="Total",SUM($T$19:T616),Adj_Rate/4*$R617)),IF(payfreq="Monthly",IF(P617="","",IF(P617="Total",SUM($T$19:T616),Adj_Rate/12*$R617)),""))))</f>
        <v>#N/A</v>
      </c>
      <c r="U617" s="37" t="e">
        <f t="shared" ca="1" si="141"/>
        <v>#N/A</v>
      </c>
      <c r="V617" s="44" t="e">
        <f t="shared" ca="1" si="142"/>
        <v>#N/A</v>
      </c>
    </row>
    <row r="618" spans="2:22">
      <c r="B618" s="38" t="e">
        <f t="shared" ca="1" si="127"/>
        <v>#N/A</v>
      </c>
      <c r="C618" s="77" t="e">
        <f t="shared" ca="1" si="137"/>
        <v>#N/A</v>
      </c>
      <c r="D618" s="78" t="e">
        <f ca="1">+IF(AND(B618&lt;$G$7),VLOOKUP($B$1,Inventory!$A$1:$BC$500,35,FALSE),IF(AND(B618=$G$7,pmt_timing="End"),VLOOKUP($B$1,Inventory!$A$1:$BC$500,35,FALSE),0))</f>
        <v>#N/A</v>
      </c>
      <c r="E618" s="78">
        <v>0</v>
      </c>
      <c r="F618" s="78">
        <v>0</v>
      </c>
      <c r="G618" s="78">
        <v>0</v>
      </c>
      <c r="H618" s="78">
        <v>0</v>
      </c>
      <c r="I618" s="78">
        <v>0</v>
      </c>
      <c r="J618" s="78">
        <v>0</v>
      </c>
      <c r="K618" s="78">
        <v>0</v>
      </c>
      <c r="L618" s="36" t="e">
        <f t="shared" ca="1" si="138"/>
        <v>#N/A</v>
      </c>
      <c r="M618" s="37" t="e">
        <f t="shared" ca="1" si="139"/>
        <v>#N/A</v>
      </c>
      <c r="N618" s="37" t="e">
        <f t="shared" ca="1" si="121"/>
        <v>#N/A</v>
      </c>
      <c r="P618" s="35" t="e">
        <f t="shared" ca="1" si="129"/>
        <v>#N/A</v>
      </c>
      <c r="Q618" s="59" t="e">
        <f t="shared" ca="1" si="123"/>
        <v>#N/A</v>
      </c>
      <c r="R618" s="44" t="e">
        <f t="shared" ca="1" si="140"/>
        <v>#N/A</v>
      </c>
      <c r="S618" s="37" t="e">
        <f ca="1">IF(P618="","",IF(P618="Total",SUM($S$19:S617),VLOOKUP($P618,$B$12:$L682,11,FALSE)))</f>
        <v>#N/A</v>
      </c>
      <c r="T618" s="44" t="e">
        <f ca="1">IF(payfreq="Annually",IF(P618="","",IF(P618="Total",SUM($T$19:T617),Adj_Rate*$R618)),IF(payfreq="Semiannually",IF(P618="","",IF(P618="Total",SUM($T$19:T617),Adj_Rate/2*$R618)),IF(payfreq="Quarterly",IF(P618="","",IF(P618="Total",SUM($T$19:T617),Adj_Rate/4*$R618)),IF(payfreq="Monthly",IF(P618="","",IF(P618="Total",SUM($T$19:T617),Adj_Rate/12*$R618)),""))))</f>
        <v>#N/A</v>
      </c>
      <c r="U618" s="37" t="e">
        <f t="shared" ca="1" si="141"/>
        <v>#N/A</v>
      </c>
      <c r="V618" s="44" t="e">
        <f t="shared" ca="1" si="142"/>
        <v>#N/A</v>
      </c>
    </row>
    <row r="619" spans="2:22">
      <c r="B619" s="38" t="e">
        <f t="shared" ca="1" si="127"/>
        <v>#N/A</v>
      </c>
      <c r="C619" s="77" t="e">
        <f t="shared" ca="1" si="137"/>
        <v>#N/A</v>
      </c>
      <c r="D619" s="78" t="e">
        <f ca="1">+IF(AND(B619&lt;$G$7),VLOOKUP($B$1,Inventory!$A$1:$BC$500,35,FALSE),IF(AND(B619=$G$7,pmt_timing="End"),VLOOKUP($B$1,Inventory!$A$1:$BC$500,35,FALSE),0))</f>
        <v>#N/A</v>
      </c>
      <c r="E619" s="78">
        <v>0</v>
      </c>
      <c r="F619" s="78">
        <v>0</v>
      </c>
      <c r="G619" s="78">
        <v>0</v>
      </c>
      <c r="H619" s="78">
        <v>0</v>
      </c>
      <c r="I619" s="78">
        <v>0</v>
      </c>
      <c r="J619" s="78">
        <v>0</v>
      </c>
      <c r="K619" s="78">
        <v>0</v>
      </c>
      <c r="L619" s="36" t="e">
        <f t="shared" ca="1" si="138"/>
        <v>#N/A</v>
      </c>
      <c r="M619" s="37" t="e">
        <f t="shared" ca="1" si="139"/>
        <v>#N/A</v>
      </c>
      <c r="N619" s="37" t="e">
        <f t="shared" ca="1" si="121"/>
        <v>#N/A</v>
      </c>
      <c r="P619" s="35" t="e">
        <f t="shared" ca="1" si="129"/>
        <v>#N/A</v>
      </c>
      <c r="Q619" s="59" t="e">
        <f t="shared" ca="1" si="123"/>
        <v>#N/A</v>
      </c>
      <c r="R619" s="44" t="e">
        <f t="shared" ca="1" si="140"/>
        <v>#N/A</v>
      </c>
      <c r="S619" s="37" t="e">
        <f ca="1">IF(P619="","",IF(P619="Total",SUM($S$19:S618),VLOOKUP($P619,$B$12:$L683,11,FALSE)))</f>
        <v>#N/A</v>
      </c>
      <c r="T619" s="44" t="e">
        <f ca="1">IF(payfreq="Annually",IF(P619="","",IF(P619="Total",SUM($T$19:T618),Adj_Rate*$R619)),IF(payfreq="Semiannually",IF(P619="","",IF(P619="Total",SUM($T$19:T618),Adj_Rate/2*$R619)),IF(payfreq="Quarterly",IF(P619="","",IF(P619="Total",SUM($T$19:T618),Adj_Rate/4*$R619)),IF(payfreq="Monthly",IF(P619="","",IF(P619="Total",SUM($T$19:T618),Adj_Rate/12*$R619)),""))))</f>
        <v>#N/A</v>
      </c>
      <c r="U619" s="37" t="e">
        <f t="shared" ca="1" si="141"/>
        <v>#N/A</v>
      </c>
      <c r="V619" s="44" t="e">
        <f t="shared" ca="1" si="142"/>
        <v>#N/A</v>
      </c>
    </row>
    <row r="620" spans="2:22">
      <c r="B620" s="38" t="e">
        <f t="shared" ca="1" si="127"/>
        <v>#N/A</v>
      </c>
      <c r="C620" s="77" t="e">
        <f t="shared" ca="1" si="137"/>
        <v>#N/A</v>
      </c>
      <c r="D620" s="78" t="e">
        <f ca="1">+IF(AND(B620&lt;$G$7),VLOOKUP($B$1,Inventory!$A$1:$BC$500,35,FALSE),IF(AND(B620=$G$7,pmt_timing="End"),VLOOKUP($B$1,Inventory!$A$1:$BC$500,35,FALSE),0))</f>
        <v>#N/A</v>
      </c>
      <c r="E620" s="78">
        <v>0</v>
      </c>
      <c r="F620" s="78">
        <v>0</v>
      </c>
      <c r="G620" s="78">
        <v>0</v>
      </c>
      <c r="H620" s="78">
        <v>0</v>
      </c>
      <c r="I620" s="78">
        <v>0</v>
      </c>
      <c r="J620" s="78">
        <v>0</v>
      </c>
      <c r="K620" s="78">
        <v>0</v>
      </c>
      <c r="L620" s="36" t="e">
        <f t="shared" ca="1" si="138"/>
        <v>#N/A</v>
      </c>
      <c r="M620" s="37" t="e">
        <f t="shared" ca="1" si="139"/>
        <v>#N/A</v>
      </c>
      <c r="N620" s="37" t="e">
        <f t="shared" ca="1" si="121"/>
        <v>#N/A</v>
      </c>
      <c r="P620" s="35" t="e">
        <f t="shared" ca="1" si="129"/>
        <v>#N/A</v>
      </c>
      <c r="Q620" s="59" t="e">
        <f t="shared" ca="1" si="123"/>
        <v>#N/A</v>
      </c>
      <c r="R620" s="44" t="e">
        <f t="shared" ca="1" si="140"/>
        <v>#N/A</v>
      </c>
      <c r="S620" s="37" t="e">
        <f ca="1">IF(P620="","",IF(P620="Total",SUM($S$19:S619),VLOOKUP($P620,$B$12:$L684,11,FALSE)))</f>
        <v>#N/A</v>
      </c>
      <c r="T620" s="44" t="e">
        <f ca="1">IF(payfreq="Annually",IF(P620="","",IF(P620="Total",SUM($T$19:T619),Adj_Rate*$R620)),IF(payfreq="Semiannually",IF(P620="","",IF(P620="Total",SUM($T$19:T619),Adj_Rate/2*$R620)),IF(payfreq="Quarterly",IF(P620="","",IF(P620="Total",SUM($T$19:T619),Adj_Rate/4*$R620)),IF(payfreq="Monthly",IF(P620="","",IF(P620="Total",SUM($T$19:T619),Adj_Rate/12*$R620)),""))))</f>
        <v>#N/A</v>
      </c>
      <c r="U620" s="37" t="e">
        <f t="shared" ca="1" si="141"/>
        <v>#N/A</v>
      </c>
      <c r="V620" s="44" t="e">
        <f t="shared" ca="1" si="142"/>
        <v>#N/A</v>
      </c>
    </row>
    <row r="621" spans="2:22">
      <c r="B621" s="38" t="e">
        <f t="shared" ca="1" si="127"/>
        <v>#N/A</v>
      </c>
      <c r="C621" s="77" t="e">
        <f t="shared" ref="C621:C684" ca="1" si="143">IF(Q621 &lt;&gt; "",Q621, "")</f>
        <v>#N/A</v>
      </c>
      <c r="D621" s="78" t="e">
        <f ca="1">+IF(AND(B621&lt;$G$7),VLOOKUP($B$1,Inventory!$A$1:$BC$500,35,FALSE),IF(AND(B621=$G$7,pmt_timing="End"),VLOOKUP($B$1,Inventory!$A$1:$BC$500,35,FALSE),0))</f>
        <v>#N/A</v>
      </c>
      <c r="E621" s="78">
        <v>0</v>
      </c>
      <c r="F621" s="78">
        <v>0</v>
      </c>
      <c r="G621" s="78">
        <v>0</v>
      </c>
      <c r="H621" s="78">
        <v>0</v>
      </c>
      <c r="I621" s="78">
        <v>0</v>
      </c>
      <c r="J621" s="78">
        <v>0</v>
      </c>
      <c r="K621" s="78">
        <v>0</v>
      </c>
      <c r="L621" s="36" t="e">
        <f t="shared" ref="L621:L684" ca="1" si="144">SUM(D621:K621)</f>
        <v>#N/A</v>
      </c>
      <c r="M621" s="37" t="e">
        <f t="shared" ref="M621:M684" ca="1" si="145">IF(pmt_timing="End",IF($B621&gt;term, "",$L621/(1+Adj_Rate/12)^B621),"")</f>
        <v>#N/A</v>
      </c>
      <c r="N621" s="37" t="e">
        <f t="shared" ca="1" si="121"/>
        <v>#N/A</v>
      </c>
      <c r="P621" s="35" t="e">
        <f t="shared" ca="1" si="129"/>
        <v>#N/A</v>
      </c>
      <c r="Q621" s="59" t="e">
        <f t="shared" ca="1" si="123"/>
        <v>#N/A</v>
      </c>
      <c r="R621" s="44" t="e">
        <f t="shared" ref="R621:R684" ca="1" si="146">IF(OR(P621="",P621="Total"),"",V620)</f>
        <v>#N/A</v>
      </c>
      <c r="S621" s="37" t="e">
        <f ca="1">IF(P621="","",IF(P621="Total",SUM($S$19:S620),VLOOKUP($P621,$B$12:$L685,11,FALSE)))</f>
        <v>#N/A</v>
      </c>
      <c r="T621" s="44" t="e">
        <f ca="1">IF(payfreq="Annually",IF(P621="","",IF(P621="Total",SUM($T$19:T620),Adj_Rate*$R621)),IF(payfreq="Semiannually",IF(P621="","",IF(P621="Total",SUM($T$19:T620),Adj_Rate/2*$R621)),IF(payfreq="Quarterly",IF(P621="","",IF(P621="Total",SUM($T$19:T620),Adj_Rate/4*$R621)),IF(payfreq="Monthly",IF(P621="","",IF(P621="Total",SUM($T$19:T620),Adj_Rate/12*$R621)),""))))</f>
        <v>#N/A</v>
      </c>
      <c r="U621" s="37" t="e">
        <f t="shared" ref="U621:U684" ca="1" si="147">+IF(S621="","",S621-T621)</f>
        <v>#N/A</v>
      </c>
      <c r="V621" s="44" t="e">
        <f t="shared" ref="V621:V684" ca="1" si="148">IF(OR(P621="",P621="Total"),"",R621+T621-S621)</f>
        <v>#N/A</v>
      </c>
    </row>
    <row r="622" spans="2:22">
      <c r="B622" s="38" t="e">
        <f t="shared" ca="1" si="127"/>
        <v>#N/A</v>
      </c>
      <c r="C622" s="77" t="e">
        <f t="shared" ca="1" si="143"/>
        <v>#N/A</v>
      </c>
      <c r="D622" s="78" t="e">
        <f ca="1">+IF(AND(B622&lt;$G$7),VLOOKUP($B$1,Inventory!$A$1:$BC$500,35,FALSE),IF(AND(B622=$G$7,pmt_timing="End"),VLOOKUP($B$1,Inventory!$A$1:$BC$500,35,FALSE),0))</f>
        <v>#N/A</v>
      </c>
      <c r="E622" s="78">
        <v>0</v>
      </c>
      <c r="F622" s="78">
        <v>0</v>
      </c>
      <c r="G622" s="78">
        <v>0</v>
      </c>
      <c r="H622" s="78">
        <v>0</v>
      </c>
      <c r="I622" s="78">
        <v>0</v>
      </c>
      <c r="J622" s="78">
        <v>0</v>
      </c>
      <c r="K622" s="78">
        <v>0</v>
      </c>
      <c r="L622" s="36" t="e">
        <f t="shared" ca="1" si="144"/>
        <v>#N/A</v>
      </c>
      <c r="M622" s="37" t="e">
        <f t="shared" ca="1" si="145"/>
        <v>#N/A</v>
      </c>
      <c r="N622" s="37" t="e">
        <f t="shared" ca="1" si="121"/>
        <v>#N/A</v>
      </c>
      <c r="P622" s="35" t="e">
        <f t="shared" ca="1" si="129"/>
        <v>#N/A</v>
      </c>
      <c r="Q622" s="59" t="e">
        <f t="shared" ca="1" si="123"/>
        <v>#N/A</v>
      </c>
      <c r="R622" s="44" t="e">
        <f t="shared" ca="1" si="146"/>
        <v>#N/A</v>
      </c>
      <c r="S622" s="37" t="e">
        <f ca="1">IF(P622="","",IF(P622="Total",SUM($S$19:S621),VLOOKUP($P622,$B$12:$L686,11,FALSE)))</f>
        <v>#N/A</v>
      </c>
      <c r="T622" s="44" t="e">
        <f ca="1">IF(payfreq="Annually",IF(P622="","",IF(P622="Total",SUM($T$19:T621),Adj_Rate*$R622)),IF(payfreq="Semiannually",IF(P622="","",IF(P622="Total",SUM($T$19:T621),Adj_Rate/2*$R622)),IF(payfreq="Quarterly",IF(P622="","",IF(P622="Total",SUM($T$19:T621),Adj_Rate/4*$R622)),IF(payfreq="Monthly",IF(P622="","",IF(P622="Total",SUM($T$19:T621),Adj_Rate/12*$R622)),""))))</f>
        <v>#N/A</v>
      </c>
      <c r="U622" s="37" t="e">
        <f t="shared" ca="1" si="147"/>
        <v>#N/A</v>
      </c>
      <c r="V622" s="44" t="e">
        <f t="shared" ca="1" si="148"/>
        <v>#N/A</v>
      </c>
    </row>
    <row r="623" spans="2:22">
      <c r="B623" s="38" t="e">
        <f t="shared" ca="1" si="127"/>
        <v>#N/A</v>
      </c>
      <c r="C623" s="77" t="e">
        <f t="shared" ca="1" si="143"/>
        <v>#N/A</v>
      </c>
      <c r="D623" s="78" t="e">
        <f ca="1">+IF(AND(B623&lt;$G$7),VLOOKUP($B$1,Inventory!$A$1:$BC$500,35,FALSE),IF(AND(B623=$G$7,pmt_timing="End"),VLOOKUP($B$1,Inventory!$A$1:$BC$500,35,FALSE),0))</f>
        <v>#N/A</v>
      </c>
      <c r="E623" s="78">
        <v>0</v>
      </c>
      <c r="F623" s="78">
        <v>0</v>
      </c>
      <c r="G623" s="78">
        <v>0</v>
      </c>
      <c r="H623" s="78">
        <v>0</v>
      </c>
      <c r="I623" s="78">
        <v>0</v>
      </c>
      <c r="J623" s="78">
        <v>0</v>
      </c>
      <c r="K623" s="78">
        <v>0</v>
      </c>
      <c r="L623" s="36" t="e">
        <f t="shared" ca="1" si="144"/>
        <v>#N/A</v>
      </c>
      <c r="M623" s="37" t="e">
        <f t="shared" ca="1" si="145"/>
        <v>#N/A</v>
      </c>
      <c r="N623" s="37" t="e">
        <f t="shared" ca="1" si="121"/>
        <v>#N/A</v>
      </c>
      <c r="P623" s="35" t="e">
        <f t="shared" ca="1" si="129"/>
        <v>#N/A</v>
      </c>
      <c r="Q623" s="59" t="e">
        <f t="shared" ca="1" si="123"/>
        <v>#N/A</v>
      </c>
      <c r="R623" s="44" t="e">
        <f t="shared" ca="1" si="146"/>
        <v>#N/A</v>
      </c>
      <c r="S623" s="37" t="e">
        <f ca="1">IF(P623="","",IF(P623="Total",SUM($S$19:S622),VLOOKUP($P623,$B$12:$L687,11,FALSE)))</f>
        <v>#N/A</v>
      </c>
      <c r="T623" s="44" t="e">
        <f ca="1">IF(payfreq="Annually",IF(P623="","",IF(P623="Total",SUM($T$19:T622),Adj_Rate*$R623)),IF(payfreq="Semiannually",IF(P623="","",IF(P623="Total",SUM($T$19:T622),Adj_Rate/2*$R623)),IF(payfreq="Quarterly",IF(P623="","",IF(P623="Total",SUM($T$19:T622),Adj_Rate/4*$R623)),IF(payfreq="Monthly",IF(P623="","",IF(P623="Total",SUM($T$19:T622),Adj_Rate/12*$R623)),""))))</f>
        <v>#N/A</v>
      </c>
      <c r="U623" s="37" t="e">
        <f t="shared" ca="1" si="147"/>
        <v>#N/A</v>
      </c>
      <c r="V623" s="44" t="e">
        <f t="shared" ca="1" si="148"/>
        <v>#N/A</v>
      </c>
    </row>
    <row r="624" spans="2:22">
      <c r="B624" s="38" t="e">
        <f t="shared" ca="1" si="127"/>
        <v>#N/A</v>
      </c>
      <c r="C624" s="77" t="e">
        <f t="shared" ca="1" si="143"/>
        <v>#N/A</v>
      </c>
      <c r="D624" s="78" t="e">
        <f ca="1">+IF(AND(B624&lt;$G$7),VLOOKUP($B$1,Inventory!$A$1:$BC$500,35,FALSE),IF(AND(B624=$G$7,pmt_timing="End"),VLOOKUP($B$1,Inventory!$A$1:$BC$500,35,FALSE),0))</f>
        <v>#N/A</v>
      </c>
      <c r="E624" s="78">
        <v>0</v>
      </c>
      <c r="F624" s="78">
        <v>0</v>
      </c>
      <c r="G624" s="78">
        <v>0</v>
      </c>
      <c r="H624" s="78">
        <v>0</v>
      </c>
      <c r="I624" s="78">
        <v>0</v>
      </c>
      <c r="J624" s="78">
        <v>0</v>
      </c>
      <c r="K624" s="78">
        <v>0</v>
      </c>
      <c r="L624" s="36" t="e">
        <f t="shared" ca="1" si="144"/>
        <v>#N/A</v>
      </c>
      <c r="M624" s="37" t="e">
        <f t="shared" ca="1" si="145"/>
        <v>#N/A</v>
      </c>
      <c r="N624" s="37" t="e">
        <f t="shared" ca="1" si="121"/>
        <v>#N/A</v>
      </c>
      <c r="P624" s="35" t="e">
        <f t="shared" ca="1" si="129"/>
        <v>#N/A</v>
      </c>
      <c r="Q624" s="59" t="e">
        <f t="shared" ca="1" si="123"/>
        <v>#N/A</v>
      </c>
      <c r="R624" s="44" t="e">
        <f t="shared" ca="1" si="146"/>
        <v>#N/A</v>
      </c>
      <c r="S624" s="37" t="e">
        <f ca="1">IF(P624="","",IF(P624="Total",SUM($S$19:S623),VLOOKUP($P624,$B$12:$L688,11,FALSE)))</f>
        <v>#N/A</v>
      </c>
      <c r="T624" s="44" t="e">
        <f ca="1">IF(payfreq="Annually",IF(P624="","",IF(P624="Total",SUM($T$19:T623),Adj_Rate*$R624)),IF(payfreq="Semiannually",IF(P624="","",IF(P624="Total",SUM($T$19:T623),Adj_Rate/2*$R624)),IF(payfreq="Quarterly",IF(P624="","",IF(P624="Total",SUM($T$19:T623),Adj_Rate/4*$R624)),IF(payfreq="Monthly",IF(P624="","",IF(P624="Total",SUM($T$19:T623),Adj_Rate/12*$R624)),""))))</f>
        <v>#N/A</v>
      </c>
      <c r="U624" s="37" t="e">
        <f t="shared" ca="1" si="147"/>
        <v>#N/A</v>
      </c>
      <c r="V624" s="44" t="e">
        <f t="shared" ca="1" si="148"/>
        <v>#N/A</v>
      </c>
    </row>
    <row r="625" spans="2:22">
      <c r="B625" s="38" t="e">
        <f t="shared" ca="1" si="127"/>
        <v>#N/A</v>
      </c>
      <c r="C625" s="77" t="e">
        <f t="shared" ca="1" si="143"/>
        <v>#N/A</v>
      </c>
      <c r="D625" s="78" t="e">
        <f ca="1">+IF(AND(B625&lt;$G$7),VLOOKUP($B$1,Inventory!$A$1:$BC$500,35,FALSE),IF(AND(B625=$G$7,pmt_timing="End"),VLOOKUP($B$1,Inventory!$A$1:$BC$500,35,FALSE),0))</f>
        <v>#N/A</v>
      </c>
      <c r="E625" s="78">
        <v>0</v>
      </c>
      <c r="F625" s="78">
        <v>0</v>
      </c>
      <c r="G625" s="78">
        <v>0</v>
      </c>
      <c r="H625" s="78">
        <v>0</v>
      </c>
      <c r="I625" s="78">
        <v>0</v>
      </c>
      <c r="J625" s="78">
        <v>0</v>
      </c>
      <c r="K625" s="78">
        <v>0</v>
      </c>
      <c r="L625" s="36" t="e">
        <f t="shared" ca="1" si="144"/>
        <v>#N/A</v>
      </c>
      <c r="M625" s="37" t="e">
        <f t="shared" ca="1" si="145"/>
        <v>#N/A</v>
      </c>
      <c r="N625" s="37" t="e">
        <f t="shared" ca="1" si="121"/>
        <v>#N/A</v>
      </c>
      <c r="P625" s="35" t="e">
        <f t="shared" ca="1" si="129"/>
        <v>#N/A</v>
      </c>
      <c r="Q625" s="59" t="e">
        <f t="shared" ca="1" si="123"/>
        <v>#N/A</v>
      </c>
      <c r="R625" s="44" t="e">
        <f t="shared" ca="1" si="146"/>
        <v>#N/A</v>
      </c>
      <c r="S625" s="37" t="e">
        <f ca="1">IF(P625="","",IF(P625="Total",SUM($S$19:S624),VLOOKUP($P625,$B$12:$L689,11,FALSE)))</f>
        <v>#N/A</v>
      </c>
      <c r="T625" s="44" t="e">
        <f ca="1">IF(payfreq="Annually",IF(P625="","",IF(P625="Total",SUM($T$19:T624),Adj_Rate*$R625)),IF(payfreq="Semiannually",IF(P625="","",IF(P625="Total",SUM($T$19:T624),Adj_Rate/2*$R625)),IF(payfreq="Quarterly",IF(P625="","",IF(P625="Total",SUM($T$19:T624),Adj_Rate/4*$R625)),IF(payfreq="Monthly",IF(P625="","",IF(P625="Total",SUM($T$19:T624),Adj_Rate/12*$R625)),""))))</f>
        <v>#N/A</v>
      </c>
      <c r="U625" s="37" t="e">
        <f t="shared" ca="1" si="147"/>
        <v>#N/A</v>
      </c>
      <c r="V625" s="44" t="e">
        <f t="shared" ca="1" si="148"/>
        <v>#N/A</v>
      </c>
    </row>
    <row r="626" spans="2:22">
      <c r="B626" s="38" t="e">
        <f t="shared" ca="1" si="127"/>
        <v>#N/A</v>
      </c>
      <c r="C626" s="77" t="e">
        <f t="shared" ca="1" si="143"/>
        <v>#N/A</v>
      </c>
      <c r="D626" s="78" t="e">
        <f ca="1">+IF(AND(B626&lt;$G$7),VLOOKUP($B$1,Inventory!$A$1:$BC$500,35,FALSE),IF(AND(B626=$G$7,pmt_timing="End"),VLOOKUP($B$1,Inventory!$A$1:$BC$500,35,FALSE),0))</f>
        <v>#N/A</v>
      </c>
      <c r="E626" s="78">
        <v>0</v>
      </c>
      <c r="F626" s="78">
        <v>0</v>
      </c>
      <c r="G626" s="78">
        <v>0</v>
      </c>
      <c r="H626" s="78">
        <v>0</v>
      </c>
      <c r="I626" s="78">
        <v>0</v>
      </c>
      <c r="J626" s="78">
        <v>0</v>
      </c>
      <c r="K626" s="78">
        <v>0</v>
      </c>
      <c r="L626" s="36" t="e">
        <f t="shared" ca="1" si="144"/>
        <v>#N/A</v>
      </c>
      <c r="M626" s="37" t="e">
        <f t="shared" ca="1" si="145"/>
        <v>#N/A</v>
      </c>
      <c r="N626" s="37" t="e">
        <f t="shared" ca="1" si="121"/>
        <v>#N/A</v>
      </c>
      <c r="P626" s="35" t="e">
        <f t="shared" ca="1" si="129"/>
        <v>#N/A</v>
      </c>
      <c r="Q626" s="59" t="e">
        <f t="shared" ca="1" si="123"/>
        <v>#N/A</v>
      </c>
      <c r="R626" s="44" t="e">
        <f t="shared" ca="1" si="146"/>
        <v>#N/A</v>
      </c>
      <c r="S626" s="37" t="e">
        <f ca="1">IF(P626="","",IF(P626="Total",SUM($S$19:S625),VLOOKUP($P626,$B$12:$L690,11,FALSE)))</f>
        <v>#N/A</v>
      </c>
      <c r="T626" s="44" t="e">
        <f ca="1">IF(payfreq="Annually",IF(P626="","",IF(P626="Total",SUM($T$19:T625),Adj_Rate*$R626)),IF(payfreq="Semiannually",IF(P626="","",IF(P626="Total",SUM($T$19:T625),Adj_Rate/2*$R626)),IF(payfreq="Quarterly",IF(P626="","",IF(P626="Total",SUM($T$19:T625),Adj_Rate/4*$R626)),IF(payfreq="Monthly",IF(P626="","",IF(P626="Total",SUM($T$19:T625),Adj_Rate/12*$R626)),""))))</f>
        <v>#N/A</v>
      </c>
      <c r="U626" s="37" t="e">
        <f t="shared" ca="1" si="147"/>
        <v>#N/A</v>
      </c>
      <c r="V626" s="44" t="e">
        <f t="shared" ca="1" si="148"/>
        <v>#N/A</v>
      </c>
    </row>
    <row r="627" spans="2:22">
      <c r="B627" s="38" t="e">
        <f t="shared" ca="1" si="127"/>
        <v>#N/A</v>
      </c>
      <c r="C627" s="77" t="e">
        <f t="shared" ca="1" si="143"/>
        <v>#N/A</v>
      </c>
      <c r="D627" s="78" t="e">
        <f ca="1">+IF(AND(B627&lt;$G$7),VLOOKUP($B$1,Inventory!$A$1:$BC$500,35,FALSE),IF(AND(B627=$G$7,pmt_timing="End"),VLOOKUP($B$1,Inventory!$A$1:$BC$500,35,FALSE),0))</f>
        <v>#N/A</v>
      </c>
      <c r="E627" s="78">
        <v>0</v>
      </c>
      <c r="F627" s="78">
        <v>0</v>
      </c>
      <c r="G627" s="78">
        <v>0</v>
      </c>
      <c r="H627" s="78">
        <v>0</v>
      </c>
      <c r="I627" s="78">
        <v>0</v>
      </c>
      <c r="J627" s="78">
        <v>0</v>
      </c>
      <c r="K627" s="78">
        <v>0</v>
      </c>
      <c r="L627" s="36" t="e">
        <f t="shared" ca="1" si="144"/>
        <v>#N/A</v>
      </c>
      <c r="M627" s="37" t="e">
        <f t="shared" ca="1" si="145"/>
        <v>#N/A</v>
      </c>
      <c r="N627" s="37" t="e">
        <f t="shared" ca="1" si="121"/>
        <v>#N/A</v>
      </c>
      <c r="P627" s="35" t="e">
        <f t="shared" ca="1" si="129"/>
        <v>#N/A</v>
      </c>
      <c r="Q627" s="59" t="e">
        <f t="shared" ca="1" si="123"/>
        <v>#N/A</v>
      </c>
      <c r="R627" s="44" t="e">
        <f t="shared" ca="1" si="146"/>
        <v>#N/A</v>
      </c>
      <c r="S627" s="37" t="e">
        <f ca="1">IF(P627="","",IF(P627="Total",SUM($S$19:S626),VLOOKUP($P627,$B$12:$L691,11,FALSE)))</f>
        <v>#N/A</v>
      </c>
      <c r="T627" s="44" t="e">
        <f ca="1">IF(payfreq="Annually",IF(P627="","",IF(P627="Total",SUM($T$19:T626),Adj_Rate*$R627)),IF(payfreq="Semiannually",IF(P627="","",IF(P627="Total",SUM($T$19:T626),Adj_Rate/2*$R627)),IF(payfreq="Quarterly",IF(P627="","",IF(P627="Total",SUM($T$19:T626),Adj_Rate/4*$R627)),IF(payfreq="Monthly",IF(P627="","",IF(P627="Total",SUM($T$19:T626),Adj_Rate/12*$R627)),""))))</f>
        <v>#N/A</v>
      </c>
      <c r="U627" s="37" t="e">
        <f t="shared" ca="1" si="147"/>
        <v>#N/A</v>
      </c>
      <c r="V627" s="44" t="e">
        <f t="shared" ca="1" si="148"/>
        <v>#N/A</v>
      </c>
    </row>
    <row r="628" spans="2:22">
      <c r="B628" s="38" t="e">
        <f t="shared" ca="1" si="127"/>
        <v>#N/A</v>
      </c>
      <c r="C628" s="77" t="e">
        <f t="shared" ca="1" si="143"/>
        <v>#N/A</v>
      </c>
      <c r="D628" s="78" t="e">
        <f ca="1">+IF(AND(B628&lt;$G$7),VLOOKUP($B$1,Inventory!$A$1:$BC$500,35,FALSE),IF(AND(B628=$G$7,pmt_timing="End"),VLOOKUP($B$1,Inventory!$A$1:$BC$500,35,FALSE),0))</f>
        <v>#N/A</v>
      </c>
      <c r="E628" s="78">
        <v>0</v>
      </c>
      <c r="F628" s="78">
        <v>0</v>
      </c>
      <c r="G628" s="78">
        <v>0</v>
      </c>
      <c r="H628" s="78">
        <v>0</v>
      </c>
      <c r="I628" s="78">
        <v>0</v>
      </c>
      <c r="J628" s="78">
        <v>0</v>
      </c>
      <c r="K628" s="78">
        <v>0</v>
      </c>
      <c r="L628" s="36" t="e">
        <f t="shared" ca="1" si="144"/>
        <v>#N/A</v>
      </c>
      <c r="M628" s="37" t="e">
        <f t="shared" ca="1" si="145"/>
        <v>#N/A</v>
      </c>
      <c r="N628" s="37" t="e">
        <f t="shared" ca="1" si="121"/>
        <v>#N/A</v>
      </c>
      <c r="P628" s="35" t="e">
        <f t="shared" ca="1" si="129"/>
        <v>#N/A</v>
      </c>
      <c r="Q628" s="59" t="e">
        <f t="shared" ca="1" si="123"/>
        <v>#N/A</v>
      </c>
      <c r="R628" s="44" t="e">
        <f t="shared" ca="1" si="146"/>
        <v>#N/A</v>
      </c>
      <c r="S628" s="37" t="e">
        <f ca="1">IF(P628="","",IF(P628="Total",SUM($S$19:S627),VLOOKUP($P628,$B$12:$L692,11,FALSE)))</f>
        <v>#N/A</v>
      </c>
      <c r="T628" s="44" t="e">
        <f ca="1">IF(payfreq="Annually",IF(P628="","",IF(P628="Total",SUM($T$19:T627),Adj_Rate*$R628)),IF(payfreq="Semiannually",IF(P628="","",IF(P628="Total",SUM($T$19:T627),Adj_Rate/2*$R628)),IF(payfreq="Quarterly",IF(P628="","",IF(P628="Total",SUM($T$19:T627),Adj_Rate/4*$R628)),IF(payfreq="Monthly",IF(P628="","",IF(P628="Total",SUM($T$19:T627),Adj_Rate/12*$R628)),""))))</f>
        <v>#N/A</v>
      </c>
      <c r="U628" s="37" t="e">
        <f t="shared" ca="1" si="147"/>
        <v>#N/A</v>
      </c>
      <c r="V628" s="44" t="e">
        <f t="shared" ca="1" si="148"/>
        <v>#N/A</v>
      </c>
    </row>
    <row r="629" spans="2:22">
      <c r="B629" s="38" t="e">
        <f t="shared" ca="1" si="127"/>
        <v>#N/A</v>
      </c>
      <c r="C629" s="77" t="e">
        <f t="shared" ca="1" si="143"/>
        <v>#N/A</v>
      </c>
      <c r="D629" s="78" t="e">
        <f ca="1">+IF(AND(B629&lt;$G$7),VLOOKUP($B$1,Inventory!$A$1:$BC$500,35,FALSE),IF(AND(B629=$G$7,pmt_timing="End"),VLOOKUP($B$1,Inventory!$A$1:$BC$500,35,FALSE),0))</f>
        <v>#N/A</v>
      </c>
      <c r="E629" s="78">
        <v>0</v>
      </c>
      <c r="F629" s="78">
        <v>0</v>
      </c>
      <c r="G629" s="78">
        <v>0</v>
      </c>
      <c r="H629" s="78">
        <v>0</v>
      </c>
      <c r="I629" s="78">
        <v>0</v>
      </c>
      <c r="J629" s="78">
        <v>0</v>
      </c>
      <c r="K629" s="78">
        <v>0</v>
      </c>
      <c r="L629" s="36" t="e">
        <f t="shared" ca="1" si="144"/>
        <v>#N/A</v>
      </c>
      <c r="M629" s="37" t="e">
        <f t="shared" ca="1" si="145"/>
        <v>#N/A</v>
      </c>
      <c r="N629" s="37" t="e">
        <f t="shared" ca="1" si="121"/>
        <v>#N/A</v>
      </c>
      <c r="P629" s="35" t="e">
        <f t="shared" ca="1" si="129"/>
        <v>#N/A</v>
      </c>
      <c r="Q629" s="59" t="e">
        <f t="shared" ca="1" si="123"/>
        <v>#N/A</v>
      </c>
      <c r="R629" s="44" t="e">
        <f t="shared" ca="1" si="146"/>
        <v>#N/A</v>
      </c>
      <c r="S629" s="37" t="e">
        <f ca="1">IF(P629="","",IF(P629="Total",SUM($S$19:S628),VLOOKUP($P629,$B$12:$L693,11,FALSE)))</f>
        <v>#N/A</v>
      </c>
      <c r="T629" s="44" t="e">
        <f ca="1">IF(payfreq="Annually",IF(P629="","",IF(P629="Total",SUM($T$19:T628),Adj_Rate*$R629)),IF(payfreq="Semiannually",IF(P629="","",IF(P629="Total",SUM($T$19:T628),Adj_Rate/2*$R629)),IF(payfreq="Quarterly",IF(P629="","",IF(P629="Total",SUM($T$19:T628),Adj_Rate/4*$R629)),IF(payfreq="Monthly",IF(P629="","",IF(P629="Total",SUM($T$19:T628),Adj_Rate/12*$R629)),""))))</f>
        <v>#N/A</v>
      </c>
      <c r="U629" s="37" t="e">
        <f t="shared" ca="1" si="147"/>
        <v>#N/A</v>
      </c>
      <c r="V629" s="44" t="e">
        <f t="shared" ca="1" si="148"/>
        <v>#N/A</v>
      </c>
    </row>
    <row r="630" spans="2:22">
      <c r="B630" s="38" t="e">
        <f t="shared" ca="1" si="127"/>
        <v>#N/A</v>
      </c>
      <c r="C630" s="77" t="e">
        <f t="shared" ca="1" si="143"/>
        <v>#N/A</v>
      </c>
      <c r="D630" s="78" t="e">
        <f ca="1">+IF(AND(B630&lt;$G$7),VLOOKUP($B$1,Inventory!$A$1:$BC$500,35,FALSE),IF(AND(B630=$G$7,pmt_timing="End"),VLOOKUP($B$1,Inventory!$A$1:$BC$500,35,FALSE),0))</f>
        <v>#N/A</v>
      </c>
      <c r="E630" s="78">
        <v>0</v>
      </c>
      <c r="F630" s="78">
        <v>0</v>
      </c>
      <c r="G630" s="78">
        <v>0</v>
      </c>
      <c r="H630" s="78">
        <v>0</v>
      </c>
      <c r="I630" s="78">
        <v>0</v>
      </c>
      <c r="J630" s="78">
        <v>0</v>
      </c>
      <c r="K630" s="78">
        <v>0</v>
      </c>
      <c r="L630" s="36" t="e">
        <f t="shared" ca="1" si="144"/>
        <v>#N/A</v>
      </c>
      <c r="M630" s="37" t="e">
        <f t="shared" ca="1" si="145"/>
        <v>#N/A</v>
      </c>
      <c r="N630" s="37" t="e">
        <f t="shared" ca="1" si="121"/>
        <v>#N/A</v>
      </c>
      <c r="P630" s="35" t="e">
        <f t="shared" ca="1" si="129"/>
        <v>#N/A</v>
      </c>
      <c r="Q630" s="59" t="e">
        <f t="shared" ca="1" si="123"/>
        <v>#N/A</v>
      </c>
      <c r="R630" s="44" t="e">
        <f t="shared" ca="1" si="146"/>
        <v>#N/A</v>
      </c>
      <c r="S630" s="37" t="e">
        <f ca="1">IF(P630="","",IF(P630="Total",SUM($S$19:S629),VLOOKUP($P630,$B$12:$L694,11,FALSE)))</f>
        <v>#N/A</v>
      </c>
      <c r="T630" s="44" t="e">
        <f ca="1">IF(payfreq="Annually",IF(P630="","",IF(P630="Total",SUM($T$19:T629),Adj_Rate*$R630)),IF(payfreq="Semiannually",IF(P630="","",IF(P630="Total",SUM($T$19:T629),Adj_Rate/2*$R630)),IF(payfreq="Quarterly",IF(P630="","",IF(P630="Total",SUM($T$19:T629),Adj_Rate/4*$R630)),IF(payfreq="Monthly",IF(P630="","",IF(P630="Total",SUM($T$19:T629),Adj_Rate/12*$R630)),""))))</f>
        <v>#N/A</v>
      </c>
      <c r="U630" s="37" t="e">
        <f t="shared" ca="1" si="147"/>
        <v>#N/A</v>
      </c>
      <c r="V630" s="44" t="e">
        <f t="shared" ca="1" si="148"/>
        <v>#N/A</v>
      </c>
    </row>
    <row r="631" spans="2:22">
      <c r="B631" s="38" t="e">
        <f t="shared" ca="1" si="127"/>
        <v>#N/A</v>
      </c>
      <c r="C631" s="77" t="e">
        <f t="shared" ca="1" si="143"/>
        <v>#N/A</v>
      </c>
      <c r="D631" s="78" t="e">
        <f ca="1">+IF(AND(B631&lt;$G$7),VLOOKUP($B$1,Inventory!$A$1:$BC$500,35,FALSE),IF(AND(B631=$G$7,pmt_timing="End"),VLOOKUP($B$1,Inventory!$A$1:$BC$500,35,FALSE),0))</f>
        <v>#N/A</v>
      </c>
      <c r="E631" s="78">
        <v>0</v>
      </c>
      <c r="F631" s="78">
        <v>0</v>
      </c>
      <c r="G631" s="78">
        <v>0</v>
      </c>
      <c r="H631" s="78">
        <v>0</v>
      </c>
      <c r="I631" s="78">
        <v>0</v>
      </c>
      <c r="J631" s="78">
        <v>0</v>
      </c>
      <c r="K631" s="78">
        <v>0</v>
      </c>
      <c r="L631" s="36" t="e">
        <f t="shared" ca="1" si="144"/>
        <v>#N/A</v>
      </c>
      <c r="M631" s="37" t="e">
        <f t="shared" ca="1" si="145"/>
        <v>#N/A</v>
      </c>
      <c r="N631" s="37" t="e">
        <f t="shared" ca="1" si="121"/>
        <v>#N/A</v>
      </c>
      <c r="P631" s="35" t="e">
        <f t="shared" ca="1" si="129"/>
        <v>#N/A</v>
      </c>
      <c r="Q631" s="59" t="e">
        <f t="shared" ca="1" si="123"/>
        <v>#N/A</v>
      </c>
      <c r="R631" s="44" t="e">
        <f t="shared" ca="1" si="146"/>
        <v>#N/A</v>
      </c>
      <c r="S631" s="37" t="e">
        <f ca="1">IF(P631="","",IF(P631="Total",SUM($S$19:S630),VLOOKUP($P631,$B$12:$L695,11,FALSE)))</f>
        <v>#N/A</v>
      </c>
      <c r="T631" s="44" t="e">
        <f ca="1">IF(payfreq="Annually",IF(P631="","",IF(P631="Total",SUM($T$19:T630),Adj_Rate*$R631)),IF(payfreq="Semiannually",IF(P631="","",IF(P631="Total",SUM($T$19:T630),Adj_Rate/2*$R631)),IF(payfreq="Quarterly",IF(P631="","",IF(P631="Total",SUM($T$19:T630),Adj_Rate/4*$R631)),IF(payfreq="Monthly",IF(P631="","",IF(P631="Total",SUM($T$19:T630),Adj_Rate/12*$R631)),""))))</f>
        <v>#N/A</v>
      </c>
      <c r="U631" s="37" t="e">
        <f t="shared" ca="1" si="147"/>
        <v>#N/A</v>
      </c>
      <c r="V631" s="44" t="e">
        <f t="shared" ca="1" si="148"/>
        <v>#N/A</v>
      </c>
    </row>
    <row r="632" spans="2:22">
      <c r="B632" s="38" t="e">
        <f t="shared" ca="1" si="127"/>
        <v>#N/A</v>
      </c>
      <c r="C632" s="77" t="e">
        <f t="shared" ca="1" si="143"/>
        <v>#N/A</v>
      </c>
      <c r="D632" s="78" t="e">
        <f ca="1">+IF(AND(B632&lt;$G$7),VLOOKUP($B$1,Inventory!$A$1:$BC$500,35,FALSE),IF(AND(B632=$G$7,pmt_timing="End"),VLOOKUP($B$1,Inventory!$A$1:$BC$500,35,FALSE),0))</f>
        <v>#N/A</v>
      </c>
      <c r="E632" s="78">
        <v>0</v>
      </c>
      <c r="F632" s="78">
        <v>0</v>
      </c>
      <c r="G632" s="78">
        <v>0</v>
      </c>
      <c r="H632" s="78">
        <v>0</v>
      </c>
      <c r="I632" s="78">
        <v>0</v>
      </c>
      <c r="J632" s="78">
        <v>0</v>
      </c>
      <c r="K632" s="78">
        <v>0</v>
      </c>
      <c r="L632" s="36" t="e">
        <f t="shared" ca="1" si="144"/>
        <v>#N/A</v>
      </c>
      <c r="M632" s="37" t="e">
        <f t="shared" ca="1" si="145"/>
        <v>#N/A</v>
      </c>
      <c r="N632" s="37" t="e">
        <f t="shared" ca="1" si="121"/>
        <v>#N/A</v>
      </c>
      <c r="P632" s="35" t="e">
        <f t="shared" ca="1" si="129"/>
        <v>#N/A</v>
      </c>
      <c r="Q632" s="59" t="e">
        <f t="shared" ca="1" si="123"/>
        <v>#N/A</v>
      </c>
      <c r="R632" s="44" t="e">
        <f t="shared" ca="1" si="146"/>
        <v>#N/A</v>
      </c>
      <c r="S632" s="37" t="e">
        <f ca="1">IF(P632="","",IF(P632="Total",SUM($S$19:S631),VLOOKUP($P632,$B$12:$L696,11,FALSE)))</f>
        <v>#N/A</v>
      </c>
      <c r="T632" s="44" t="e">
        <f ca="1">IF(payfreq="Annually",IF(P632="","",IF(P632="Total",SUM($T$19:T631),Adj_Rate*$R632)),IF(payfreq="Semiannually",IF(P632="","",IF(P632="Total",SUM($T$19:T631),Adj_Rate/2*$R632)),IF(payfreq="Quarterly",IF(P632="","",IF(P632="Total",SUM($T$19:T631),Adj_Rate/4*$R632)),IF(payfreq="Monthly",IF(P632="","",IF(P632="Total",SUM($T$19:T631),Adj_Rate/12*$R632)),""))))</f>
        <v>#N/A</v>
      </c>
      <c r="U632" s="37" t="e">
        <f t="shared" ca="1" si="147"/>
        <v>#N/A</v>
      </c>
      <c r="V632" s="44" t="e">
        <f t="shared" ca="1" si="148"/>
        <v>#N/A</v>
      </c>
    </row>
    <row r="633" spans="2:22">
      <c r="B633" s="38" t="e">
        <f t="shared" ca="1" si="127"/>
        <v>#N/A</v>
      </c>
      <c r="C633" s="77" t="e">
        <f t="shared" ca="1" si="143"/>
        <v>#N/A</v>
      </c>
      <c r="D633" s="78" t="e">
        <f ca="1">+IF(AND(B633&lt;$G$7),VLOOKUP($B$1,Inventory!$A$1:$BC$500,35,FALSE),IF(AND(B633=$G$7,pmt_timing="End"),VLOOKUP($B$1,Inventory!$A$1:$BC$500,35,FALSE),0))</f>
        <v>#N/A</v>
      </c>
      <c r="E633" s="78">
        <v>0</v>
      </c>
      <c r="F633" s="78">
        <v>0</v>
      </c>
      <c r="G633" s="78">
        <v>0</v>
      </c>
      <c r="H633" s="78">
        <v>0</v>
      </c>
      <c r="I633" s="78">
        <v>0</v>
      </c>
      <c r="J633" s="78">
        <v>0</v>
      </c>
      <c r="K633" s="78">
        <v>0</v>
      </c>
      <c r="L633" s="36" t="e">
        <f t="shared" ca="1" si="144"/>
        <v>#N/A</v>
      </c>
      <c r="M633" s="37" t="e">
        <f t="shared" ca="1" si="145"/>
        <v>#N/A</v>
      </c>
      <c r="N633" s="37" t="e">
        <f t="shared" ca="1" si="121"/>
        <v>#N/A</v>
      </c>
      <c r="P633" s="35" t="e">
        <f t="shared" ca="1" si="129"/>
        <v>#N/A</v>
      </c>
      <c r="Q633" s="59" t="e">
        <f t="shared" ca="1" si="123"/>
        <v>#N/A</v>
      </c>
      <c r="R633" s="44" t="e">
        <f t="shared" ca="1" si="146"/>
        <v>#N/A</v>
      </c>
      <c r="S633" s="37" t="e">
        <f ca="1">IF(P633="","",IF(P633="Total",SUM($S$19:S632),VLOOKUP($P633,$B$12:$L697,11,FALSE)))</f>
        <v>#N/A</v>
      </c>
      <c r="T633" s="44" t="e">
        <f ca="1">IF(payfreq="Annually",IF(P633="","",IF(P633="Total",SUM($T$19:T632),Adj_Rate*$R633)),IF(payfreq="Semiannually",IF(P633="","",IF(P633="Total",SUM($T$19:T632),Adj_Rate/2*$R633)),IF(payfreq="Quarterly",IF(P633="","",IF(P633="Total",SUM($T$19:T632),Adj_Rate/4*$R633)),IF(payfreq="Monthly",IF(P633="","",IF(P633="Total",SUM($T$19:T632),Adj_Rate/12*$R633)),""))))</f>
        <v>#N/A</v>
      </c>
      <c r="U633" s="37" t="e">
        <f t="shared" ca="1" si="147"/>
        <v>#N/A</v>
      </c>
      <c r="V633" s="44" t="e">
        <f t="shared" ca="1" si="148"/>
        <v>#N/A</v>
      </c>
    </row>
    <row r="634" spans="2:22">
      <c r="B634" s="38" t="e">
        <f t="shared" ca="1" si="127"/>
        <v>#N/A</v>
      </c>
      <c r="C634" s="77" t="e">
        <f t="shared" ca="1" si="143"/>
        <v>#N/A</v>
      </c>
      <c r="D634" s="78" t="e">
        <f ca="1">+IF(AND(B634&lt;$G$7),VLOOKUP($B$1,Inventory!$A$1:$BC$500,35,FALSE),IF(AND(B634=$G$7,pmt_timing="End"),VLOOKUP($B$1,Inventory!$A$1:$BC$500,35,FALSE),0))</f>
        <v>#N/A</v>
      </c>
      <c r="E634" s="78">
        <v>0</v>
      </c>
      <c r="F634" s="78">
        <v>0</v>
      </c>
      <c r="G634" s="78">
        <v>0</v>
      </c>
      <c r="H634" s="78">
        <v>0</v>
      </c>
      <c r="I634" s="78">
        <v>0</v>
      </c>
      <c r="J634" s="78">
        <v>0</v>
      </c>
      <c r="K634" s="78">
        <v>0</v>
      </c>
      <c r="L634" s="36" t="e">
        <f t="shared" ca="1" si="144"/>
        <v>#N/A</v>
      </c>
      <c r="M634" s="37" t="e">
        <f t="shared" ca="1" si="145"/>
        <v>#N/A</v>
      </c>
      <c r="N634" s="37" t="e">
        <f t="shared" ca="1" si="121"/>
        <v>#N/A</v>
      </c>
      <c r="P634" s="35" t="e">
        <f t="shared" ca="1" si="129"/>
        <v>#N/A</v>
      </c>
      <c r="Q634" s="59" t="e">
        <f t="shared" ca="1" si="123"/>
        <v>#N/A</v>
      </c>
      <c r="R634" s="44" t="e">
        <f t="shared" ca="1" si="146"/>
        <v>#N/A</v>
      </c>
      <c r="S634" s="37" t="e">
        <f ca="1">IF(P634="","",IF(P634="Total",SUM($S$19:S633),VLOOKUP($P634,$B$12:$L698,11,FALSE)))</f>
        <v>#N/A</v>
      </c>
      <c r="T634" s="44" t="e">
        <f ca="1">IF(payfreq="Annually",IF(P634="","",IF(P634="Total",SUM($T$19:T633),Adj_Rate*$R634)),IF(payfreq="Semiannually",IF(P634="","",IF(P634="Total",SUM($T$19:T633),Adj_Rate/2*$R634)),IF(payfreq="Quarterly",IF(P634="","",IF(P634="Total",SUM($T$19:T633),Adj_Rate/4*$R634)),IF(payfreq="Monthly",IF(P634="","",IF(P634="Total",SUM($T$19:T633),Adj_Rate/12*$R634)),""))))</f>
        <v>#N/A</v>
      </c>
      <c r="U634" s="37" t="e">
        <f t="shared" ca="1" si="147"/>
        <v>#N/A</v>
      </c>
      <c r="V634" s="44" t="e">
        <f t="shared" ca="1" si="148"/>
        <v>#N/A</v>
      </c>
    </row>
    <row r="635" spans="2:22">
      <c r="B635" s="38" t="e">
        <f t="shared" ca="1" si="127"/>
        <v>#N/A</v>
      </c>
      <c r="C635" s="77" t="e">
        <f t="shared" ca="1" si="143"/>
        <v>#N/A</v>
      </c>
      <c r="D635" s="78" t="e">
        <f ca="1">+IF(AND(B635&lt;$G$7),VLOOKUP($B$1,Inventory!$A$1:$BC$500,35,FALSE),IF(AND(B635=$G$7,pmt_timing="End"),VLOOKUP($B$1,Inventory!$A$1:$BC$500,35,FALSE),0))</f>
        <v>#N/A</v>
      </c>
      <c r="E635" s="78">
        <v>0</v>
      </c>
      <c r="F635" s="78">
        <v>0</v>
      </c>
      <c r="G635" s="78">
        <v>0</v>
      </c>
      <c r="H635" s="78">
        <v>0</v>
      </c>
      <c r="I635" s="78">
        <v>0</v>
      </c>
      <c r="J635" s="78">
        <v>0</v>
      </c>
      <c r="K635" s="78">
        <v>0</v>
      </c>
      <c r="L635" s="36" t="e">
        <f t="shared" ca="1" si="144"/>
        <v>#N/A</v>
      </c>
      <c r="M635" s="37" t="e">
        <f t="shared" ca="1" si="145"/>
        <v>#N/A</v>
      </c>
      <c r="N635" s="37" t="e">
        <f t="shared" ca="1" si="121"/>
        <v>#N/A</v>
      </c>
      <c r="P635" s="35" t="e">
        <f t="shared" ca="1" si="129"/>
        <v>#N/A</v>
      </c>
      <c r="Q635" s="59" t="e">
        <f t="shared" ca="1" si="123"/>
        <v>#N/A</v>
      </c>
      <c r="R635" s="44" t="e">
        <f t="shared" ca="1" si="146"/>
        <v>#N/A</v>
      </c>
      <c r="S635" s="37" t="e">
        <f ca="1">IF(P635="","",IF(P635="Total",SUM($S$19:S634),VLOOKUP($P635,$B$12:$L699,11,FALSE)))</f>
        <v>#N/A</v>
      </c>
      <c r="T635" s="44" t="e">
        <f ca="1">IF(payfreq="Annually",IF(P635="","",IF(P635="Total",SUM($T$19:T634),Adj_Rate*$R635)),IF(payfreq="Semiannually",IF(P635="","",IF(P635="Total",SUM($T$19:T634),Adj_Rate/2*$R635)),IF(payfreq="Quarterly",IF(P635="","",IF(P635="Total",SUM($T$19:T634),Adj_Rate/4*$R635)),IF(payfreq="Monthly",IF(P635="","",IF(P635="Total",SUM($T$19:T634),Adj_Rate/12*$R635)),""))))</f>
        <v>#N/A</v>
      </c>
      <c r="U635" s="37" t="e">
        <f t="shared" ca="1" si="147"/>
        <v>#N/A</v>
      </c>
      <c r="V635" s="44" t="e">
        <f t="shared" ca="1" si="148"/>
        <v>#N/A</v>
      </c>
    </row>
    <row r="636" spans="2:22">
      <c r="B636" s="38" t="e">
        <f t="shared" ca="1" si="127"/>
        <v>#N/A</v>
      </c>
      <c r="C636" s="77" t="e">
        <f t="shared" ca="1" si="143"/>
        <v>#N/A</v>
      </c>
      <c r="D636" s="78" t="e">
        <f ca="1">+IF(AND(B636&lt;$G$7),VLOOKUP($B$1,Inventory!$A$1:$BC$500,35,FALSE),IF(AND(B636=$G$7,pmt_timing="End"),VLOOKUP($B$1,Inventory!$A$1:$BC$500,35,FALSE),0))</f>
        <v>#N/A</v>
      </c>
      <c r="E636" s="78">
        <v>0</v>
      </c>
      <c r="F636" s="78">
        <v>0</v>
      </c>
      <c r="G636" s="78">
        <v>0</v>
      </c>
      <c r="H636" s="78">
        <v>0</v>
      </c>
      <c r="I636" s="78">
        <v>0</v>
      </c>
      <c r="J636" s="78">
        <v>0</v>
      </c>
      <c r="K636" s="78">
        <v>0</v>
      </c>
      <c r="L636" s="36" t="e">
        <f t="shared" ca="1" si="144"/>
        <v>#N/A</v>
      </c>
      <c r="M636" s="37" t="e">
        <f t="shared" ca="1" si="145"/>
        <v>#N/A</v>
      </c>
      <c r="N636" s="37" t="e">
        <f t="shared" ca="1" si="121"/>
        <v>#N/A</v>
      </c>
      <c r="P636" s="35" t="e">
        <f t="shared" ca="1" si="129"/>
        <v>#N/A</v>
      </c>
      <c r="Q636" s="59" t="e">
        <f t="shared" ca="1" si="123"/>
        <v>#N/A</v>
      </c>
      <c r="R636" s="44" t="e">
        <f t="shared" ca="1" si="146"/>
        <v>#N/A</v>
      </c>
      <c r="S636" s="37" t="e">
        <f ca="1">IF(P636="","",IF(P636="Total",SUM($S$19:S635),VLOOKUP($P636,$B$12:$L700,11,FALSE)))</f>
        <v>#N/A</v>
      </c>
      <c r="T636" s="44" t="e">
        <f ca="1">IF(payfreq="Annually",IF(P636="","",IF(P636="Total",SUM($T$19:T635),Adj_Rate*$R636)),IF(payfreq="Semiannually",IF(P636="","",IF(P636="Total",SUM($T$19:T635),Adj_Rate/2*$R636)),IF(payfreq="Quarterly",IF(P636="","",IF(P636="Total",SUM($T$19:T635),Adj_Rate/4*$R636)),IF(payfreq="Monthly",IF(P636="","",IF(P636="Total",SUM($T$19:T635),Adj_Rate/12*$R636)),""))))</f>
        <v>#N/A</v>
      </c>
      <c r="U636" s="37" t="e">
        <f t="shared" ca="1" si="147"/>
        <v>#N/A</v>
      </c>
      <c r="V636" s="44" t="e">
        <f t="shared" ca="1" si="148"/>
        <v>#N/A</v>
      </c>
    </row>
    <row r="637" spans="2:22">
      <c r="B637" s="38" t="e">
        <f t="shared" ca="1" si="127"/>
        <v>#N/A</v>
      </c>
      <c r="C637" s="77" t="e">
        <f t="shared" ca="1" si="143"/>
        <v>#N/A</v>
      </c>
      <c r="D637" s="78" t="e">
        <f ca="1">+IF(AND(B637&lt;$G$7),VLOOKUP($B$1,Inventory!$A$1:$BC$500,35,FALSE),IF(AND(B637=$G$7,pmt_timing="End"),VLOOKUP($B$1,Inventory!$A$1:$BC$500,35,FALSE),0))</f>
        <v>#N/A</v>
      </c>
      <c r="E637" s="78">
        <v>0</v>
      </c>
      <c r="F637" s="78">
        <v>0</v>
      </c>
      <c r="G637" s="78">
        <v>0</v>
      </c>
      <c r="H637" s="78">
        <v>0</v>
      </c>
      <c r="I637" s="78">
        <v>0</v>
      </c>
      <c r="J637" s="78">
        <v>0</v>
      </c>
      <c r="K637" s="78">
        <v>0</v>
      </c>
      <c r="L637" s="36" t="e">
        <f t="shared" ca="1" si="144"/>
        <v>#N/A</v>
      </c>
      <c r="M637" s="37" t="e">
        <f t="shared" ca="1" si="145"/>
        <v>#N/A</v>
      </c>
      <c r="N637" s="37" t="e">
        <f t="shared" ca="1" si="121"/>
        <v>#N/A</v>
      </c>
      <c r="P637" s="35" t="e">
        <f t="shared" ca="1" si="129"/>
        <v>#N/A</v>
      </c>
      <c r="Q637" s="59" t="e">
        <f t="shared" ca="1" si="123"/>
        <v>#N/A</v>
      </c>
      <c r="R637" s="44" t="e">
        <f t="shared" ca="1" si="146"/>
        <v>#N/A</v>
      </c>
      <c r="S637" s="37" t="e">
        <f ca="1">IF(P637="","",IF(P637="Total",SUM($S$19:S636),VLOOKUP($P637,$B$12:$L701,11,FALSE)))</f>
        <v>#N/A</v>
      </c>
      <c r="T637" s="44" t="e">
        <f ca="1">IF(payfreq="Annually",IF(P637="","",IF(P637="Total",SUM($T$19:T636),Adj_Rate*$R637)),IF(payfreq="Semiannually",IF(P637="","",IF(P637="Total",SUM($T$19:T636),Adj_Rate/2*$R637)),IF(payfreq="Quarterly",IF(P637="","",IF(P637="Total",SUM($T$19:T636),Adj_Rate/4*$R637)),IF(payfreq="Monthly",IF(P637="","",IF(P637="Total",SUM($T$19:T636),Adj_Rate/12*$R637)),""))))</f>
        <v>#N/A</v>
      </c>
      <c r="U637" s="37" t="e">
        <f t="shared" ca="1" si="147"/>
        <v>#N/A</v>
      </c>
      <c r="V637" s="44" t="e">
        <f t="shared" ca="1" si="148"/>
        <v>#N/A</v>
      </c>
    </row>
    <row r="638" spans="2:22">
      <c r="B638" s="38" t="e">
        <f t="shared" ca="1" si="127"/>
        <v>#N/A</v>
      </c>
      <c r="C638" s="77" t="e">
        <f t="shared" ca="1" si="143"/>
        <v>#N/A</v>
      </c>
      <c r="D638" s="78" t="e">
        <f ca="1">+IF(AND(B638&lt;$G$7),VLOOKUP($B$1,Inventory!$A$1:$BC$500,35,FALSE),IF(AND(B638=$G$7,pmt_timing="End"),VLOOKUP($B$1,Inventory!$A$1:$BC$500,35,FALSE),0))</f>
        <v>#N/A</v>
      </c>
      <c r="E638" s="78">
        <v>0</v>
      </c>
      <c r="F638" s="78">
        <v>0</v>
      </c>
      <c r="G638" s="78">
        <v>0</v>
      </c>
      <c r="H638" s="78">
        <v>0</v>
      </c>
      <c r="I638" s="78">
        <v>0</v>
      </c>
      <c r="J638" s="78">
        <v>0</v>
      </c>
      <c r="K638" s="78">
        <v>0</v>
      </c>
      <c r="L638" s="36" t="e">
        <f t="shared" ca="1" si="144"/>
        <v>#N/A</v>
      </c>
      <c r="M638" s="37" t="e">
        <f t="shared" ca="1" si="145"/>
        <v>#N/A</v>
      </c>
      <c r="N638" s="37" t="e">
        <f t="shared" ca="1" si="121"/>
        <v>#N/A</v>
      </c>
      <c r="P638" s="35" t="e">
        <f t="shared" ca="1" si="129"/>
        <v>#N/A</v>
      </c>
      <c r="Q638" s="59" t="e">
        <f t="shared" ca="1" si="123"/>
        <v>#N/A</v>
      </c>
      <c r="R638" s="44" t="e">
        <f t="shared" ca="1" si="146"/>
        <v>#N/A</v>
      </c>
      <c r="S638" s="37" t="e">
        <f ca="1">IF(P638="","",IF(P638="Total",SUM($S$19:S637),VLOOKUP($P638,$B$12:$L702,11,FALSE)))</f>
        <v>#N/A</v>
      </c>
      <c r="T638" s="44" t="e">
        <f ca="1">IF(payfreq="Annually",IF(P638="","",IF(P638="Total",SUM($T$19:T637),Adj_Rate*$R638)),IF(payfreq="Semiannually",IF(P638="","",IF(P638="Total",SUM($T$19:T637),Adj_Rate/2*$R638)),IF(payfreq="Quarterly",IF(P638="","",IF(P638="Total",SUM($T$19:T637),Adj_Rate/4*$R638)),IF(payfreq="Monthly",IF(P638="","",IF(P638="Total",SUM($T$19:T637),Adj_Rate/12*$R638)),""))))</f>
        <v>#N/A</v>
      </c>
      <c r="U638" s="37" t="e">
        <f t="shared" ca="1" si="147"/>
        <v>#N/A</v>
      </c>
      <c r="V638" s="44" t="e">
        <f t="shared" ca="1" si="148"/>
        <v>#N/A</v>
      </c>
    </row>
    <row r="639" spans="2:22">
      <c r="B639" s="38" t="e">
        <f t="shared" ca="1" si="127"/>
        <v>#N/A</v>
      </c>
      <c r="C639" s="77" t="e">
        <f t="shared" ca="1" si="143"/>
        <v>#N/A</v>
      </c>
      <c r="D639" s="78" t="e">
        <f ca="1">+IF(AND(B639&lt;$G$7),VLOOKUP($B$1,Inventory!$A$1:$BC$500,35,FALSE),IF(AND(B639=$G$7,pmt_timing="End"),VLOOKUP($B$1,Inventory!$A$1:$BC$500,35,FALSE),0))</f>
        <v>#N/A</v>
      </c>
      <c r="E639" s="78">
        <v>0</v>
      </c>
      <c r="F639" s="78">
        <v>0</v>
      </c>
      <c r="G639" s="78">
        <v>0</v>
      </c>
      <c r="H639" s="78">
        <v>0</v>
      </c>
      <c r="I639" s="78">
        <v>0</v>
      </c>
      <c r="J639" s="78">
        <v>0</v>
      </c>
      <c r="K639" s="78">
        <v>0</v>
      </c>
      <c r="L639" s="36" t="e">
        <f t="shared" ca="1" si="144"/>
        <v>#N/A</v>
      </c>
      <c r="M639" s="37" t="e">
        <f t="shared" ca="1" si="145"/>
        <v>#N/A</v>
      </c>
      <c r="N639" s="37" t="e">
        <f t="shared" ca="1" si="121"/>
        <v>#N/A</v>
      </c>
      <c r="P639" s="35" t="e">
        <f t="shared" ca="1" si="129"/>
        <v>#N/A</v>
      </c>
      <c r="Q639" s="59" t="e">
        <f t="shared" ca="1" si="123"/>
        <v>#N/A</v>
      </c>
      <c r="R639" s="44" t="e">
        <f t="shared" ca="1" si="146"/>
        <v>#N/A</v>
      </c>
      <c r="S639" s="37" t="e">
        <f ca="1">IF(P639="","",IF(P639="Total",SUM($S$19:S638),VLOOKUP($P639,$B$12:$L703,11,FALSE)))</f>
        <v>#N/A</v>
      </c>
      <c r="T639" s="44" t="e">
        <f ca="1">IF(payfreq="Annually",IF(P639="","",IF(P639="Total",SUM($T$19:T638),Adj_Rate*$R639)),IF(payfreq="Semiannually",IF(P639="","",IF(P639="Total",SUM($T$19:T638),Adj_Rate/2*$R639)),IF(payfreq="Quarterly",IF(P639="","",IF(P639="Total",SUM($T$19:T638),Adj_Rate/4*$R639)),IF(payfreq="Monthly",IF(P639="","",IF(P639="Total",SUM($T$19:T638),Adj_Rate/12*$R639)),""))))</f>
        <v>#N/A</v>
      </c>
      <c r="U639" s="37" t="e">
        <f t="shared" ca="1" si="147"/>
        <v>#N/A</v>
      </c>
      <c r="V639" s="44" t="e">
        <f t="shared" ca="1" si="148"/>
        <v>#N/A</v>
      </c>
    </row>
    <row r="640" spans="2:22">
      <c r="B640" s="38" t="e">
        <f t="shared" ca="1" si="127"/>
        <v>#N/A</v>
      </c>
      <c r="C640" s="77" t="e">
        <f t="shared" ca="1" si="143"/>
        <v>#N/A</v>
      </c>
      <c r="D640" s="78" t="e">
        <f ca="1">+IF(AND(B640&lt;$G$7),VLOOKUP($B$1,Inventory!$A$1:$BC$500,35,FALSE),IF(AND(B640=$G$7,pmt_timing="End"),VLOOKUP($B$1,Inventory!$A$1:$BC$500,35,FALSE),0))</f>
        <v>#N/A</v>
      </c>
      <c r="E640" s="78">
        <v>0</v>
      </c>
      <c r="F640" s="78">
        <v>0</v>
      </c>
      <c r="G640" s="78">
        <v>0</v>
      </c>
      <c r="H640" s="78">
        <v>0</v>
      </c>
      <c r="I640" s="78">
        <v>0</v>
      </c>
      <c r="J640" s="78">
        <v>0</v>
      </c>
      <c r="K640" s="78">
        <v>0</v>
      </c>
      <c r="L640" s="36" t="e">
        <f t="shared" ca="1" si="144"/>
        <v>#N/A</v>
      </c>
      <c r="M640" s="37" t="e">
        <f t="shared" ca="1" si="145"/>
        <v>#N/A</v>
      </c>
      <c r="N640" s="37" t="e">
        <f t="shared" ca="1" si="121"/>
        <v>#N/A</v>
      </c>
      <c r="P640" s="35" t="e">
        <f t="shared" ca="1" si="129"/>
        <v>#N/A</v>
      </c>
      <c r="Q640" s="59" t="e">
        <f t="shared" ca="1" si="123"/>
        <v>#N/A</v>
      </c>
      <c r="R640" s="44" t="e">
        <f t="shared" ca="1" si="146"/>
        <v>#N/A</v>
      </c>
      <c r="S640" s="37" t="e">
        <f ca="1">IF(P640="","",IF(P640="Total",SUM($S$19:S639),VLOOKUP($P640,$B$12:$L704,11,FALSE)))</f>
        <v>#N/A</v>
      </c>
      <c r="T640" s="44" t="e">
        <f ca="1">IF(payfreq="Annually",IF(P640="","",IF(P640="Total",SUM($T$19:T639),Adj_Rate*$R640)),IF(payfreq="Semiannually",IF(P640="","",IF(P640="Total",SUM($T$19:T639),Adj_Rate/2*$R640)),IF(payfreq="Quarterly",IF(P640="","",IF(P640="Total",SUM($T$19:T639),Adj_Rate/4*$R640)),IF(payfreq="Monthly",IF(P640="","",IF(P640="Total",SUM($T$19:T639),Adj_Rate/12*$R640)),""))))</f>
        <v>#N/A</v>
      </c>
      <c r="U640" s="37" t="e">
        <f t="shared" ca="1" si="147"/>
        <v>#N/A</v>
      </c>
      <c r="V640" s="44" t="e">
        <f t="shared" ca="1" si="148"/>
        <v>#N/A</v>
      </c>
    </row>
    <row r="641" spans="2:22">
      <c r="B641" s="38" t="e">
        <f t="shared" ca="1" si="127"/>
        <v>#N/A</v>
      </c>
      <c r="C641" s="77" t="e">
        <f t="shared" ca="1" si="143"/>
        <v>#N/A</v>
      </c>
      <c r="D641" s="78" t="e">
        <f ca="1">+IF(AND(B641&lt;$G$7),VLOOKUP($B$1,Inventory!$A$1:$BC$500,35,FALSE),IF(AND(B641=$G$7,pmt_timing="End"),VLOOKUP($B$1,Inventory!$A$1:$BC$500,35,FALSE),0))</f>
        <v>#N/A</v>
      </c>
      <c r="E641" s="78">
        <v>0</v>
      </c>
      <c r="F641" s="78">
        <v>0</v>
      </c>
      <c r="G641" s="78">
        <v>0</v>
      </c>
      <c r="H641" s="78">
        <v>0</v>
      </c>
      <c r="I641" s="78">
        <v>0</v>
      </c>
      <c r="J641" s="78">
        <v>0</v>
      </c>
      <c r="K641" s="78">
        <v>0</v>
      </c>
      <c r="L641" s="36" t="e">
        <f t="shared" ca="1" si="144"/>
        <v>#N/A</v>
      </c>
      <c r="M641" s="37" t="e">
        <f t="shared" ca="1" si="145"/>
        <v>#N/A</v>
      </c>
      <c r="N641" s="37" t="e">
        <f t="shared" ca="1" si="121"/>
        <v>#N/A</v>
      </c>
      <c r="P641" s="35" t="e">
        <f t="shared" ca="1" si="129"/>
        <v>#N/A</v>
      </c>
      <c r="Q641" s="59" t="e">
        <f t="shared" ca="1" si="123"/>
        <v>#N/A</v>
      </c>
      <c r="R641" s="44" t="e">
        <f t="shared" ca="1" si="146"/>
        <v>#N/A</v>
      </c>
      <c r="S641" s="37" t="e">
        <f ca="1">IF(P641="","",IF(P641="Total",SUM($S$19:S640),VLOOKUP($P641,$B$12:$L705,11,FALSE)))</f>
        <v>#N/A</v>
      </c>
      <c r="T641" s="44" t="e">
        <f ca="1">IF(payfreq="Annually",IF(P641="","",IF(P641="Total",SUM($T$19:T640),Adj_Rate*$R641)),IF(payfreq="Semiannually",IF(P641="","",IF(P641="Total",SUM($T$19:T640),Adj_Rate/2*$R641)),IF(payfreq="Quarterly",IF(P641="","",IF(P641="Total",SUM($T$19:T640),Adj_Rate/4*$R641)),IF(payfreq="Monthly",IF(P641="","",IF(P641="Total",SUM($T$19:T640),Adj_Rate/12*$R641)),""))))</f>
        <v>#N/A</v>
      </c>
      <c r="U641" s="37" t="e">
        <f t="shared" ca="1" si="147"/>
        <v>#N/A</v>
      </c>
      <c r="V641" s="44" t="e">
        <f t="shared" ca="1" si="148"/>
        <v>#N/A</v>
      </c>
    </row>
    <row r="642" spans="2:22">
      <c r="B642" s="38" t="e">
        <f t="shared" ca="1" si="127"/>
        <v>#N/A</v>
      </c>
      <c r="C642" s="77" t="e">
        <f t="shared" ca="1" si="143"/>
        <v>#N/A</v>
      </c>
      <c r="D642" s="78" t="e">
        <f ca="1">+IF(AND(B642&lt;$G$7),VLOOKUP($B$1,Inventory!$A$1:$BC$500,35,FALSE),IF(AND(B642=$G$7,pmt_timing="End"),VLOOKUP($B$1,Inventory!$A$1:$BC$500,35,FALSE),0))</f>
        <v>#N/A</v>
      </c>
      <c r="E642" s="78">
        <v>0</v>
      </c>
      <c r="F642" s="78">
        <v>0</v>
      </c>
      <c r="G642" s="78">
        <v>0</v>
      </c>
      <c r="H642" s="78">
        <v>0</v>
      </c>
      <c r="I642" s="78">
        <v>0</v>
      </c>
      <c r="J642" s="78">
        <v>0</v>
      </c>
      <c r="K642" s="78">
        <v>0</v>
      </c>
      <c r="L642" s="36" t="e">
        <f t="shared" ca="1" si="144"/>
        <v>#N/A</v>
      </c>
      <c r="M642" s="37" t="e">
        <f t="shared" ca="1" si="145"/>
        <v>#N/A</v>
      </c>
      <c r="N642" s="37" t="e">
        <f t="shared" ca="1" si="121"/>
        <v>#N/A</v>
      </c>
      <c r="P642" s="35" t="e">
        <f t="shared" ca="1" si="129"/>
        <v>#N/A</v>
      </c>
      <c r="Q642" s="59" t="e">
        <f t="shared" ca="1" si="123"/>
        <v>#N/A</v>
      </c>
      <c r="R642" s="44" t="e">
        <f t="shared" ca="1" si="146"/>
        <v>#N/A</v>
      </c>
      <c r="S642" s="37" t="e">
        <f ca="1">IF(P642="","",IF(P642="Total",SUM($S$19:S641),VLOOKUP($P642,$B$12:$L706,11,FALSE)))</f>
        <v>#N/A</v>
      </c>
      <c r="T642" s="44" t="e">
        <f ca="1">IF(payfreq="Annually",IF(P642="","",IF(P642="Total",SUM($T$19:T641),Adj_Rate*$R642)),IF(payfreq="Semiannually",IF(P642="","",IF(P642="Total",SUM($T$19:T641),Adj_Rate/2*$R642)),IF(payfreq="Quarterly",IF(P642="","",IF(P642="Total",SUM($T$19:T641),Adj_Rate/4*$R642)),IF(payfreq="Monthly",IF(P642="","",IF(P642="Total",SUM($T$19:T641),Adj_Rate/12*$R642)),""))))</f>
        <v>#N/A</v>
      </c>
      <c r="U642" s="37" t="e">
        <f t="shared" ca="1" si="147"/>
        <v>#N/A</v>
      </c>
      <c r="V642" s="44" t="e">
        <f t="shared" ca="1" si="148"/>
        <v>#N/A</v>
      </c>
    </row>
    <row r="643" spans="2:22">
      <c r="B643" s="38" t="e">
        <f t="shared" ca="1" si="127"/>
        <v>#N/A</v>
      </c>
      <c r="C643" s="77" t="e">
        <f t="shared" ca="1" si="143"/>
        <v>#N/A</v>
      </c>
      <c r="D643" s="78" t="e">
        <f ca="1">+IF(AND(B643&lt;$G$7),VLOOKUP($B$1,Inventory!$A$1:$BC$500,35,FALSE),IF(AND(B643=$G$7,pmt_timing="End"),VLOOKUP($B$1,Inventory!$A$1:$BC$500,35,FALSE),0))</f>
        <v>#N/A</v>
      </c>
      <c r="E643" s="78">
        <v>0</v>
      </c>
      <c r="F643" s="78">
        <v>0</v>
      </c>
      <c r="G643" s="78">
        <v>0</v>
      </c>
      <c r="H643" s="78">
        <v>0</v>
      </c>
      <c r="I643" s="78">
        <v>0</v>
      </c>
      <c r="J643" s="78">
        <v>0</v>
      </c>
      <c r="K643" s="78">
        <v>0</v>
      </c>
      <c r="L643" s="36" t="e">
        <f t="shared" ca="1" si="144"/>
        <v>#N/A</v>
      </c>
      <c r="M643" s="37" t="e">
        <f t="shared" ca="1" si="145"/>
        <v>#N/A</v>
      </c>
      <c r="N643" s="37" t="e">
        <f t="shared" ca="1" si="121"/>
        <v>#N/A</v>
      </c>
      <c r="P643" s="35" t="e">
        <f t="shared" ca="1" si="129"/>
        <v>#N/A</v>
      </c>
      <c r="Q643" s="59" t="e">
        <f t="shared" ca="1" si="123"/>
        <v>#N/A</v>
      </c>
      <c r="R643" s="44" t="e">
        <f t="shared" ca="1" si="146"/>
        <v>#N/A</v>
      </c>
      <c r="S643" s="37" t="e">
        <f ca="1">IF(P643="","",IF(P643="Total",SUM($S$19:S642),VLOOKUP($P643,$B$12:$L707,11,FALSE)))</f>
        <v>#N/A</v>
      </c>
      <c r="T643" s="44" t="e">
        <f ca="1">IF(payfreq="Annually",IF(P643="","",IF(P643="Total",SUM($T$19:T642),Adj_Rate*$R643)),IF(payfreq="Semiannually",IF(P643="","",IF(P643="Total",SUM($T$19:T642),Adj_Rate/2*$R643)),IF(payfreq="Quarterly",IF(P643="","",IF(P643="Total",SUM($T$19:T642),Adj_Rate/4*$R643)),IF(payfreq="Monthly",IF(P643="","",IF(P643="Total",SUM($T$19:T642),Adj_Rate/12*$R643)),""))))</f>
        <v>#N/A</v>
      </c>
      <c r="U643" s="37" t="e">
        <f t="shared" ca="1" si="147"/>
        <v>#N/A</v>
      </c>
      <c r="V643" s="44" t="e">
        <f t="shared" ca="1" si="148"/>
        <v>#N/A</v>
      </c>
    </row>
    <row r="644" spans="2:22">
      <c r="B644" s="38" t="e">
        <f t="shared" ca="1" si="127"/>
        <v>#N/A</v>
      </c>
      <c r="C644" s="77" t="e">
        <f t="shared" ca="1" si="143"/>
        <v>#N/A</v>
      </c>
      <c r="D644" s="78" t="e">
        <f ca="1">+IF(AND(B644&lt;$G$7),VLOOKUP($B$1,Inventory!$A$1:$BC$500,35,FALSE),IF(AND(B644=$G$7,pmt_timing="End"),VLOOKUP($B$1,Inventory!$A$1:$BC$500,35,FALSE),0))</f>
        <v>#N/A</v>
      </c>
      <c r="E644" s="78">
        <v>0</v>
      </c>
      <c r="F644" s="78">
        <v>0</v>
      </c>
      <c r="G644" s="78">
        <v>0</v>
      </c>
      <c r="H644" s="78">
        <v>0</v>
      </c>
      <c r="I644" s="78">
        <v>0</v>
      </c>
      <c r="J644" s="78">
        <v>0</v>
      </c>
      <c r="K644" s="78">
        <v>0</v>
      </c>
      <c r="L644" s="36" t="e">
        <f t="shared" ca="1" si="144"/>
        <v>#N/A</v>
      </c>
      <c r="M644" s="37" t="e">
        <f t="shared" ca="1" si="145"/>
        <v>#N/A</v>
      </c>
      <c r="N644" s="37" t="e">
        <f t="shared" ca="1" si="121"/>
        <v>#N/A</v>
      </c>
      <c r="P644" s="35" t="e">
        <f t="shared" ca="1" si="129"/>
        <v>#N/A</v>
      </c>
      <c r="Q644" s="59" t="e">
        <f t="shared" ca="1" si="123"/>
        <v>#N/A</v>
      </c>
      <c r="R644" s="44" t="e">
        <f t="shared" ca="1" si="146"/>
        <v>#N/A</v>
      </c>
      <c r="S644" s="37" t="e">
        <f ca="1">IF(P644="","",IF(P644="Total",SUM($S$19:S643),VLOOKUP($P644,$B$12:$L708,11,FALSE)))</f>
        <v>#N/A</v>
      </c>
      <c r="T644" s="44" t="e">
        <f ca="1">IF(payfreq="Annually",IF(P644="","",IF(P644="Total",SUM($T$19:T643),Adj_Rate*$R644)),IF(payfreq="Semiannually",IF(P644="","",IF(P644="Total",SUM($T$19:T643),Adj_Rate/2*$R644)),IF(payfreq="Quarterly",IF(P644="","",IF(P644="Total",SUM($T$19:T643),Adj_Rate/4*$R644)),IF(payfreq="Monthly",IF(P644="","",IF(P644="Total",SUM($T$19:T643),Adj_Rate/12*$R644)),""))))</f>
        <v>#N/A</v>
      </c>
      <c r="U644" s="37" t="e">
        <f t="shared" ca="1" si="147"/>
        <v>#N/A</v>
      </c>
      <c r="V644" s="44" t="e">
        <f t="shared" ca="1" si="148"/>
        <v>#N/A</v>
      </c>
    </row>
    <row r="645" spans="2:22">
      <c r="B645" s="38" t="e">
        <f t="shared" ca="1" si="127"/>
        <v>#N/A</v>
      </c>
      <c r="C645" s="77" t="e">
        <f t="shared" ca="1" si="143"/>
        <v>#N/A</v>
      </c>
      <c r="D645" s="78" t="e">
        <f ca="1">+IF(AND(B645&lt;$G$7),VLOOKUP($B$1,Inventory!$A$1:$BC$500,35,FALSE),IF(AND(B645=$G$7,pmt_timing="End"),VLOOKUP($B$1,Inventory!$A$1:$BC$500,35,FALSE),0))</f>
        <v>#N/A</v>
      </c>
      <c r="E645" s="78">
        <v>0</v>
      </c>
      <c r="F645" s="78">
        <v>0</v>
      </c>
      <c r="G645" s="78">
        <v>0</v>
      </c>
      <c r="H645" s="78">
        <v>0</v>
      </c>
      <c r="I645" s="78">
        <v>0</v>
      </c>
      <c r="J645" s="78">
        <v>0</v>
      </c>
      <c r="K645" s="78">
        <v>0</v>
      </c>
      <c r="L645" s="36" t="e">
        <f t="shared" ca="1" si="144"/>
        <v>#N/A</v>
      </c>
      <c r="M645" s="37" t="e">
        <f t="shared" ca="1" si="145"/>
        <v>#N/A</v>
      </c>
      <c r="N645" s="37" t="e">
        <f t="shared" ca="1" si="121"/>
        <v>#N/A</v>
      </c>
      <c r="P645" s="35" t="e">
        <f t="shared" ca="1" si="129"/>
        <v>#N/A</v>
      </c>
      <c r="Q645" s="59" t="e">
        <f t="shared" ca="1" si="123"/>
        <v>#N/A</v>
      </c>
      <c r="R645" s="44" t="e">
        <f t="shared" ca="1" si="146"/>
        <v>#N/A</v>
      </c>
      <c r="S645" s="37" t="e">
        <f ca="1">IF(P645="","",IF(P645="Total",SUM($S$19:S644),VLOOKUP($P645,$B$12:$L709,11,FALSE)))</f>
        <v>#N/A</v>
      </c>
      <c r="T645" s="44" t="e">
        <f ca="1">IF(payfreq="Annually",IF(P645="","",IF(P645="Total",SUM($T$19:T644),Adj_Rate*$R645)),IF(payfreq="Semiannually",IF(P645="","",IF(P645="Total",SUM($T$19:T644),Adj_Rate/2*$R645)),IF(payfreq="Quarterly",IF(P645="","",IF(P645="Total",SUM($T$19:T644),Adj_Rate/4*$R645)),IF(payfreq="Monthly",IF(P645="","",IF(P645="Total",SUM($T$19:T644),Adj_Rate/12*$R645)),""))))</f>
        <v>#N/A</v>
      </c>
      <c r="U645" s="37" t="e">
        <f t="shared" ca="1" si="147"/>
        <v>#N/A</v>
      </c>
      <c r="V645" s="44" t="e">
        <f t="shared" ca="1" si="148"/>
        <v>#N/A</v>
      </c>
    </row>
    <row r="646" spans="2:22">
      <c r="B646" s="38" t="e">
        <f t="shared" ca="1" si="127"/>
        <v>#N/A</v>
      </c>
      <c r="C646" s="77" t="e">
        <f t="shared" ca="1" si="143"/>
        <v>#N/A</v>
      </c>
      <c r="D646" s="78" t="e">
        <f ca="1">+IF(AND(B646&lt;$G$7),VLOOKUP($B$1,Inventory!$A$1:$BC$500,35,FALSE),IF(AND(B646=$G$7,pmt_timing="End"),VLOOKUP($B$1,Inventory!$A$1:$BC$500,35,FALSE),0))</f>
        <v>#N/A</v>
      </c>
      <c r="E646" s="78">
        <v>0</v>
      </c>
      <c r="F646" s="78">
        <v>0</v>
      </c>
      <c r="G646" s="78">
        <v>0</v>
      </c>
      <c r="H646" s="78">
        <v>0</v>
      </c>
      <c r="I646" s="78">
        <v>0</v>
      </c>
      <c r="J646" s="78">
        <v>0</v>
      </c>
      <c r="K646" s="78">
        <v>0</v>
      </c>
      <c r="L646" s="36" t="e">
        <f t="shared" ca="1" si="144"/>
        <v>#N/A</v>
      </c>
      <c r="M646" s="37" t="e">
        <f t="shared" ca="1" si="145"/>
        <v>#N/A</v>
      </c>
      <c r="N646" s="37" t="e">
        <f t="shared" ca="1" si="121"/>
        <v>#N/A</v>
      </c>
      <c r="P646" s="35" t="e">
        <f t="shared" ca="1" si="129"/>
        <v>#N/A</v>
      </c>
      <c r="Q646" s="59" t="e">
        <f t="shared" ca="1" si="123"/>
        <v>#N/A</v>
      </c>
      <c r="R646" s="44" t="e">
        <f t="shared" ca="1" si="146"/>
        <v>#N/A</v>
      </c>
      <c r="S646" s="37" t="e">
        <f ca="1">IF(P646="","",IF(P646="Total",SUM($S$19:S645),VLOOKUP($P646,$B$12:$L710,11,FALSE)))</f>
        <v>#N/A</v>
      </c>
      <c r="T646" s="44" t="e">
        <f ca="1">IF(payfreq="Annually",IF(P646="","",IF(P646="Total",SUM($T$19:T645),Adj_Rate*$R646)),IF(payfreq="Semiannually",IF(P646="","",IF(P646="Total",SUM($T$19:T645),Adj_Rate/2*$R646)),IF(payfreq="Quarterly",IF(P646="","",IF(P646="Total",SUM($T$19:T645),Adj_Rate/4*$R646)),IF(payfreq="Monthly",IF(P646="","",IF(P646="Total",SUM($T$19:T645),Adj_Rate/12*$R646)),""))))</f>
        <v>#N/A</v>
      </c>
      <c r="U646" s="37" t="e">
        <f t="shared" ca="1" si="147"/>
        <v>#N/A</v>
      </c>
      <c r="V646" s="44" t="e">
        <f t="shared" ca="1" si="148"/>
        <v>#N/A</v>
      </c>
    </row>
    <row r="647" spans="2:22">
      <c r="B647" s="38" t="e">
        <f t="shared" ca="1" si="127"/>
        <v>#N/A</v>
      </c>
      <c r="C647" s="77" t="e">
        <f t="shared" ca="1" si="143"/>
        <v>#N/A</v>
      </c>
      <c r="D647" s="78" t="e">
        <f ca="1">+IF(AND(B647&lt;$G$7),VLOOKUP($B$1,Inventory!$A$1:$BC$500,35,FALSE),IF(AND(B647=$G$7,pmt_timing="End"),VLOOKUP($B$1,Inventory!$A$1:$BC$500,35,FALSE),0))</f>
        <v>#N/A</v>
      </c>
      <c r="E647" s="78">
        <v>0</v>
      </c>
      <c r="F647" s="78">
        <v>0</v>
      </c>
      <c r="G647" s="78">
        <v>0</v>
      </c>
      <c r="H647" s="78">
        <v>0</v>
      </c>
      <c r="I647" s="78">
        <v>0</v>
      </c>
      <c r="J647" s="78">
        <v>0</v>
      </c>
      <c r="K647" s="78">
        <v>0</v>
      </c>
      <c r="L647" s="36" t="e">
        <f t="shared" ca="1" si="144"/>
        <v>#N/A</v>
      </c>
      <c r="M647" s="37" t="e">
        <f t="shared" ca="1" si="145"/>
        <v>#N/A</v>
      </c>
      <c r="N647" s="37" t="e">
        <f t="shared" ca="1" si="121"/>
        <v>#N/A</v>
      </c>
      <c r="P647" s="35" t="e">
        <f t="shared" ca="1" si="129"/>
        <v>#N/A</v>
      </c>
      <c r="Q647" s="59" t="e">
        <f t="shared" ca="1" si="123"/>
        <v>#N/A</v>
      </c>
      <c r="R647" s="44" t="e">
        <f t="shared" ca="1" si="146"/>
        <v>#N/A</v>
      </c>
      <c r="S647" s="37" t="e">
        <f ca="1">IF(P647="","",IF(P647="Total",SUM($S$19:S646),VLOOKUP($P647,$B$12:$L711,11,FALSE)))</f>
        <v>#N/A</v>
      </c>
      <c r="T647" s="44" t="e">
        <f ca="1">IF(payfreq="Annually",IF(P647="","",IF(P647="Total",SUM($T$19:T646),Adj_Rate*$R647)),IF(payfreq="Semiannually",IF(P647="","",IF(P647="Total",SUM($T$19:T646),Adj_Rate/2*$R647)),IF(payfreq="Quarterly",IF(P647="","",IF(P647="Total",SUM($T$19:T646),Adj_Rate/4*$R647)),IF(payfreq="Monthly",IF(P647="","",IF(P647="Total",SUM($T$19:T646),Adj_Rate/12*$R647)),""))))</f>
        <v>#N/A</v>
      </c>
      <c r="U647" s="37" t="e">
        <f t="shared" ca="1" si="147"/>
        <v>#N/A</v>
      </c>
      <c r="V647" s="44" t="e">
        <f t="shared" ca="1" si="148"/>
        <v>#N/A</v>
      </c>
    </row>
    <row r="648" spans="2:22">
      <c r="B648" s="38" t="e">
        <f t="shared" ca="1" si="127"/>
        <v>#N/A</v>
      </c>
      <c r="C648" s="77" t="e">
        <f t="shared" ca="1" si="143"/>
        <v>#N/A</v>
      </c>
      <c r="D648" s="78" t="e">
        <f ca="1">+IF(AND(B648&lt;$G$7),VLOOKUP($B$1,Inventory!$A$1:$BC$500,35,FALSE),IF(AND(B648=$G$7,pmt_timing="End"),VLOOKUP($B$1,Inventory!$A$1:$BC$500,35,FALSE),0))</f>
        <v>#N/A</v>
      </c>
      <c r="E648" s="78">
        <v>0</v>
      </c>
      <c r="F648" s="78">
        <v>0</v>
      </c>
      <c r="G648" s="78">
        <v>0</v>
      </c>
      <c r="H648" s="78">
        <v>0</v>
      </c>
      <c r="I648" s="78">
        <v>0</v>
      </c>
      <c r="J648" s="78">
        <v>0</v>
      </c>
      <c r="K648" s="78">
        <v>0</v>
      </c>
      <c r="L648" s="36" t="e">
        <f t="shared" ca="1" si="144"/>
        <v>#N/A</v>
      </c>
      <c r="M648" s="37" t="e">
        <f t="shared" ca="1" si="145"/>
        <v>#N/A</v>
      </c>
      <c r="N648" s="37" t="e">
        <f t="shared" ca="1" si="121"/>
        <v>#N/A</v>
      </c>
      <c r="P648" s="35" t="e">
        <f t="shared" ca="1" si="129"/>
        <v>#N/A</v>
      </c>
      <c r="Q648" s="59" t="e">
        <f t="shared" ca="1" si="123"/>
        <v>#N/A</v>
      </c>
      <c r="R648" s="44" t="e">
        <f t="shared" ca="1" si="146"/>
        <v>#N/A</v>
      </c>
      <c r="S648" s="37" t="e">
        <f ca="1">IF(P648="","",IF(P648="Total",SUM($S$19:S647),VLOOKUP($P648,$B$12:$L712,11,FALSE)))</f>
        <v>#N/A</v>
      </c>
      <c r="T648" s="44" t="e">
        <f ca="1">IF(payfreq="Annually",IF(P648="","",IF(P648="Total",SUM($T$19:T647),Adj_Rate*$R648)),IF(payfreq="Semiannually",IF(P648="","",IF(P648="Total",SUM($T$19:T647),Adj_Rate/2*$R648)),IF(payfreq="Quarterly",IF(P648="","",IF(P648="Total",SUM($T$19:T647),Adj_Rate/4*$R648)),IF(payfreq="Monthly",IF(P648="","",IF(P648="Total",SUM($T$19:T647),Adj_Rate/12*$R648)),""))))</f>
        <v>#N/A</v>
      </c>
      <c r="U648" s="37" t="e">
        <f t="shared" ca="1" si="147"/>
        <v>#N/A</v>
      </c>
      <c r="V648" s="44" t="e">
        <f t="shared" ca="1" si="148"/>
        <v>#N/A</v>
      </c>
    </row>
    <row r="649" spans="2:22">
      <c r="B649" s="38" t="e">
        <f t="shared" ca="1" si="127"/>
        <v>#N/A</v>
      </c>
      <c r="C649" s="77" t="e">
        <f t="shared" ca="1" si="143"/>
        <v>#N/A</v>
      </c>
      <c r="D649" s="78" t="e">
        <f ca="1">+IF(AND(B649&lt;$G$7),VLOOKUP($B$1,Inventory!$A$1:$BC$500,35,FALSE),IF(AND(B649=$G$7,pmt_timing="End"),VLOOKUP($B$1,Inventory!$A$1:$BC$500,35,FALSE),0))</f>
        <v>#N/A</v>
      </c>
      <c r="E649" s="78">
        <v>0</v>
      </c>
      <c r="F649" s="78">
        <v>0</v>
      </c>
      <c r="G649" s="78">
        <v>0</v>
      </c>
      <c r="H649" s="78">
        <v>0</v>
      </c>
      <c r="I649" s="78">
        <v>0</v>
      </c>
      <c r="J649" s="78">
        <v>0</v>
      </c>
      <c r="K649" s="78">
        <v>0</v>
      </c>
      <c r="L649" s="36" t="e">
        <f t="shared" ca="1" si="144"/>
        <v>#N/A</v>
      </c>
      <c r="M649" s="37" t="e">
        <f t="shared" ca="1" si="145"/>
        <v>#N/A</v>
      </c>
      <c r="N649" s="37" t="e">
        <f t="shared" ca="1" si="121"/>
        <v>#N/A</v>
      </c>
      <c r="P649" s="35" t="e">
        <f t="shared" ca="1" si="129"/>
        <v>#N/A</v>
      </c>
      <c r="Q649" s="59" t="e">
        <f t="shared" ca="1" si="123"/>
        <v>#N/A</v>
      </c>
      <c r="R649" s="44" t="e">
        <f t="shared" ca="1" si="146"/>
        <v>#N/A</v>
      </c>
      <c r="S649" s="37" t="e">
        <f ca="1">IF(P649="","",IF(P649="Total",SUM($S$19:S648),VLOOKUP($P649,$B$12:$L713,11,FALSE)))</f>
        <v>#N/A</v>
      </c>
      <c r="T649" s="44" t="e">
        <f ca="1">IF(payfreq="Annually",IF(P649="","",IF(P649="Total",SUM($T$19:T648),Adj_Rate*$R649)),IF(payfreq="Semiannually",IF(P649="","",IF(P649="Total",SUM($T$19:T648),Adj_Rate/2*$R649)),IF(payfreq="Quarterly",IF(P649="","",IF(P649="Total",SUM($T$19:T648),Adj_Rate/4*$R649)),IF(payfreq="Monthly",IF(P649="","",IF(P649="Total",SUM($T$19:T648),Adj_Rate/12*$R649)),""))))</f>
        <v>#N/A</v>
      </c>
      <c r="U649" s="37" t="e">
        <f t="shared" ca="1" si="147"/>
        <v>#N/A</v>
      </c>
      <c r="V649" s="44" t="e">
        <f t="shared" ca="1" si="148"/>
        <v>#N/A</v>
      </c>
    </row>
    <row r="650" spans="2:22">
      <c r="B650" s="38" t="e">
        <f t="shared" ca="1" si="127"/>
        <v>#N/A</v>
      </c>
      <c r="C650" s="77" t="e">
        <f t="shared" ca="1" si="143"/>
        <v>#N/A</v>
      </c>
      <c r="D650" s="78" t="e">
        <f ca="1">+IF(AND(B650&lt;$G$7),VLOOKUP($B$1,Inventory!$A$1:$BC$500,35,FALSE),IF(AND(B650=$G$7,pmt_timing="End"),VLOOKUP($B$1,Inventory!$A$1:$BC$500,35,FALSE),0))</f>
        <v>#N/A</v>
      </c>
      <c r="E650" s="78">
        <v>0</v>
      </c>
      <c r="F650" s="78">
        <v>0</v>
      </c>
      <c r="G650" s="78">
        <v>0</v>
      </c>
      <c r="H650" s="78">
        <v>0</v>
      </c>
      <c r="I650" s="78">
        <v>0</v>
      </c>
      <c r="J650" s="78">
        <v>0</v>
      </c>
      <c r="K650" s="78">
        <v>0</v>
      </c>
      <c r="L650" s="36" t="e">
        <f t="shared" ca="1" si="144"/>
        <v>#N/A</v>
      </c>
      <c r="M650" s="37" t="e">
        <f t="shared" ca="1" si="145"/>
        <v>#N/A</v>
      </c>
      <c r="N650" s="37" t="e">
        <f t="shared" ca="1" si="121"/>
        <v>#N/A</v>
      </c>
      <c r="P650" s="35" t="e">
        <f t="shared" ca="1" si="129"/>
        <v>#N/A</v>
      </c>
      <c r="Q650" s="59" t="e">
        <f t="shared" ca="1" si="123"/>
        <v>#N/A</v>
      </c>
      <c r="R650" s="44" t="e">
        <f t="shared" ca="1" si="146"/>
        <v>#N/A</v>
      </c>
      <c r="S650" s="37" t="e">
        <f ca="1">IF(P650="","",IF(P650="Total",SUM($S$19:S649),VLOOKUP($P650,$B$12:$L714,11,FALSE)))</f>
        <v>#N/A</v>
      </c>
      <c r="T650" s="44" t="e">
        <f ca="1">IF(payfreq="Annually",IF(P650="","",IF(P650="Total",SUM($T$19:T649),Adj_Rate*$R650)),IF(payfreq="Semiannually",IF(P650="","",IF(P650="Total",SUM($T$19:T649),Adj_Rate/2*$R650)),IF(payfreq="Quarterly",IF(P650="","",IF(P650="Total",SUM($T$19:T649),Adj_Rate/4*$R650)),IF(payfreq="Monthly",IF(P650="","",IF(P650="Total",SUM($T$19:T649),Adj_Rate/12*$R650)),""))))</f>
        <v>#N/A</v>
      </c>
      <c r="U650" s="37" t="e">
        <f t="shared" ca="1" si="147"/>
        <v>#N/A</v>
      </c>
      <c r="V650" s="44" t="e">
        <f t="shared" ca="1" si="148"/>
        <v>#N/A</v>
      </c>
    </row>
    <row r="651" spans="2:22">
      <c r="B651" s="38" t="e">
        <f t="shared" ca="1" si="127"/>
        <v>#N/A</v>
      </c>
      <c r="C651" s="77" t="e">
        <f t="shared" ca="1" si="143"/>
        <v>#N/A</v>
      </c>
      <c r="D651" s="78" t="e">
        <f ca="1">+IF(AND(B651&lt;$G$7),VLOOKUP($B$1,Inventory!$A$1:$BC$500,35,FALSE),IF(AND(B651=$G$7,pmt_timing="End"),VLOOKUP($B$1,Inventory!$A$1:$BC$500,35,FALSE),0))</f>
        <v>#N/A</v>
      </c>
      <c r="E651" s="78">
        <v>0</v>
      </c>
      <c r="F651" s="78">
        <v>0</v>
      </c>
      <c r="G651" s="78">
        <v>0</v>
      </c>
      <c r="H651" s="78">
        <v>0</v>
      </c>
      <c r="I651" s="78">
        <v>0</v>
      </c>
      <c r="J651" s="78">
        <v>0</v>
      </c>
      <c r="K651" s="78">
        <v>0</v>
      </c>
      <c r="L651" s="36" t="e">
        <f t="shared" ca="1" si="144"/>
        <v>#N/A</v>
      </c>
      <c r="M651" s="37" t="e">
        <f t="shared" ca="1" si="145"/>
        <v>#N/A</v>
      </c>
      <c r="N651" s="37" t="e">
        <f t="shared" ca="1" si="121"/>
        <v>#N/A</v>
      </c>
      <c r="P651" s="35" t="e">
        <f t="shared" ca="1" si="129"/>
        <v>#N/A</v>
      </c>
      <c r="Q651" s="59" t="e">
        <f t="shared" ca="1" si="123"/>
        <v>#N/A</v>
      </c>
      <c r="R651" s="44" t="e">
        <f t="shared" ca="1" si="146"/>
        <v>#N/A</v>
      </c>
      <c r="S651" s="37" t="e">
        <f ca="1">IF(P651="","",IF(P651="Total",SUM($S$19:S650),VLOOKUP($P651,$B$12:$L715,11,FALSE)))</f>
        <v>#N/A</v>
      </c>
      <c r="T651" s="44" t="e">
        <f ca="1">IF(payfreq="Annually",IF(P651="","",IF(P651="Total",SUM($T$19:T650),Adj_Rate*$R651)),IF(payfreq="Semiannually",IF(P651="","",IF(P651="Total",SUM($T$19:T650),Adj_Rate/2*$R651)),IF(payfreq="Quarterly",IF(P651="","",IF(P651="Total",SUM($T$19:T650),Adj_Rate/4*$R651)),IF(payfreq="Monthly",IF(P651="","",IF(P651="Total",SUM($T$19:T650),Adj_Rate/12*$R651)),""))))</f>
        <v>#N/A</v>
      </c>
      <c r="U651" s="37" t="e">
        <f t="shared" ca="1" si="147"/>
        <v>#N/A</v>
      </c>
      <c r="V651" s="44" t="e">
        <f t="shared" ca="1" si="148"/>
        <v>#N/A</v>
      </c>
    </row>
    <row r="652" spans="2:22">
      <c r="B652" s="38" t="e">
        <f t="shared" ca="1" si="127"/>
        <v>#N/A</v>
      </c>
      <c r="C652" s="77" t="e">
        <f t="shared" ca="1" si="143"/>
        <v>#N/A</v>
      </c>
      <c r="D652" s="78" t="e">
        <f ca="1">+IF(AND(B652&lt;$G$7),VLOOKUP($B$1,Inventory!$A$1:$BC$500,35,FALSE),IF(AND(B652=$G$7,pmt_timing="End"),VLOOKUP($B$1,Inventory!$A$1:$BC$500,35,FALSE),0))</f>
        <v>#N/A</v>
      </c>
      <c r="E652" s="78">
        <v>0</v>
      </c>
      <c r="F652" s="78">
        <v>0</v>
      </c>
      <c r="G652" s="78">
        <v>0</v>
      </c>
      <c r="H652" s="78">
        <v>0</v>
      </c>
      <c r="I652" s="78">
        <v>0</v>
      </c>
      <c r="J652" s="78">
        <v>0</v>
      </c>
      <c r="K652" s="78">
        <v>0</v>
      </c>
      <c r="L652" s="36" t="e">
        <f t="shared" ca="1" si="144"/>
        <v>#N/A</v>
      </c>
      <c r="M652" s="37" t="e">
        <f t="shared" ca="1" si="145"/>
        <v>#N/A</v>
      </c>
      <c r="N652" s="37" t="e">
        <f t="shared" ca="1" si="121"/>
        <v>#N/A</v>
      </c>
      <c r="P652" s="35" t="e">
        <f t="shared" ca="1" si="129"/>
        <v>#N/A</v>
      </c>
      <c r="Q652" s="59" t="e">
        <f t="shared" ca="1" si="123"/>
        <v>#N/A</v>
      </c>
      <c r="R652" s="44" t="e">
        <f t="shared" ca="1" si="146"/>
        <v>#N/A</v>
      </c>
      <c r="S652" s="37" t="e">
        <f ca="1">IF(P652="","",IF(P652="Total",SUM($S$19:S651),VLOOKUP($P652,$B$12:$L716,11,FALSE)))</f>
        <v>#N/A</v>
      </c>
      <c r="T652" s="44" t="e">
        <f ca="1">IF(payfreq="Annually",IF(P652="","",IF(P652="Total",SUM($T$19:T651),Adj_Rate*$R652)),IF(payfreq="Semiannually",IF(P652="","",IF(P652="Total",SUM($T$19:T651),Adj_Rate/2*$R652)),IF(payfreq="Quarterly",IF(P652="","",IF(P652="Total",SUM($T$19:T651),Adj_Rate/4*$R652)),IF(payfreq="Monthly",IF(P652="","",IF(P652="Total",SUM($T$19:T651),Adj_Rate/12*$R652)),""))))</f>
        <v>#N/A</v>
      </c>
      <c r="U652" s="37" t="e">
        <f t="shared" ca="1" si="147"/>
        <v>#N/A</v>
      </c>
      <c r="V652" s="44" t="e">
        <f t="shared" ca="1" si="148"/>
        <v>#N/A</v>
      </c>
    </row>
    <row r="653" spans="2:22">
      <c r="B653" s="38" t="e">
        <f t="shared" ca="1" si="127"/>
        <v>#N/A</v>
      </c>
      <c r="C653" s="77" t="e">
        <f t="shared" ca="1" si="143"/>
        <v>#N/A</v>
      </c>
      <c r="D653" s="78" t="e">
        <f ca="1">+IF(AND(B653&lt;$G$7),VLOOKUP($B$1,Inventory!$A$1:$BC$500,35,FALSE),IF(AND(B653=$G$7,pmt_timing="End"),VLOOKUP($B$1,Inventory!$A$1:$BC$500,35,FALSE),0))</f>
        <v>#N/A</v>
      </c>
      <c r="E653" s="78">
        <v>0</v>
      </c>
      <c r="F653" s="78">
        <v>0</v>
      </c>
      <c r="G653" s="78">
        <v>0</v>
      </c>
      <c r="H653" s="78">
        <v>0</v>
      </c>
      <c r="I653" s="78">
        <v>0</v>
      </c>
      <c r="J653" s="78">
        <v>0</v>
      </c>
      <c r="K653" s="78">
        <v>0</v>
      </c>
      <c r="L653" s="36" t="e">
        <f t="shared" ca="1" si="144"/>
        <v>#N/A</v>
      </c>
      <c r="M653" s="37" t="e">
        <f t="shared" ca="1" si="145"/>
        <v>#N/A</v>
      </c>
      <c r="N653" s="37" t="e">
        <f t="shared" ca="1" si="121"/>
        <v>#N/A</v>
      </c>
      <c r="P653" s="35" t="e">
        <f t="shared" ca="1" si="129"/>
        <v>#N/A</v>
      </c>
      <c r="Q653" s="59" t="e">
        <f t="shared" ca="1" si="123"/>
        <v>#N/A</v>
      </c>
      <c r="R653" s="44" t="e">
        <f t="shared" ca="1" si="146"/>
        <v>#N/A</v>
      </c>
      <c r="S653" s="37" t="e">
        <f ca="1">IF(P653="","",IF(P653="Total",SUM($S$19:S652),VLOOKUP($P653,$B$12:$L717,11,FALSE)))</f>
        <v>#N/A</v>
      </c>
      <c r="T653" s="44" t="e">
        <f ca="1">IF(payfreq="Annually",IF(P653="","",IF(P653="Total",SUM($T$19:T652),Adj_Rate*$R653)),IF(payfreq="Semiannually",IF(P653="","",IF(P653="Total",SUM($T$19:T652),Adj_Rate/2*$R653)),IF(payfreq="Quarterly",IF(P653="","",IF(P653="Total",SUM($T$19:T652),Adj_Rate/4*$R653)),IF(payfreq="Monthly",IF(P653="","",IF(P653="Total",SUM($T$19:T652),Adj_Rate/12*$R653)),""))))</f>
        <v>#N/A</v>
      </c>
      <c r="U653" s="37" t="e">
        <f t="shared" ca="1" si="147"/>
        <v>#N/A</v>
      </c>
      <c r="V653" s="44" t="e">
        <f t="shared" ca="1" si="148"/>
        <v>#N/A</v>
      </c>
    </row>
    <row r="654" spans="2:22">
      <c r="B654" s="38" t="e">
        <f t="shared" ca="1" si="127"/>
        <v>#N/A</v>
      </c>
      <c r="C654" s="77" t="e">
        <f t="shared" ca="1" si="143"/>
        <v>#N/A</v>
      </c>
      <c r="D654" s="78" t="e">
        <f ca="1">+IF(AND(B654&lt;$G$7),VLOOKUP($B$1,Inventory!$A$1:$BC$500,35,FALSE),IF(AND(B654=$G$7,pmt_timing="End"),VLOOKUP($B$1,Inventory!$A$1:$BC$500,35,FALSE),0))</f>
        <v>#N/A</v>
      </c>
      <c r="E654" s="78">
        <v>0</v>
      </c>
      <c r="F654" s="78">
        <v>0</v>
      </c>
      <c r="G654" s="78">
        <v>0</v>
      </c>
      <c r="H654" s="78">
        <v>0</v>
      </c>
      <c r="I654" s="78">
        <v>0</v>
      </c>
      <c r="J654" s="78">
        <v>0</v>
      </c>
      <c r="K654" s="78">
        <v>0</v>
      </c>
      <c r="L654" s="36" t="e">
        <f t="shared" ca="1" si="144"/>
        <v>#N/A</v>
      </c>
      <c r="M654" s="37" t="e">
        <f t="shared" ca="1" si="145"/>
        <v>#N/A</v>
      </c>
      <c r="N654" s="37" t="e">
        <f t="shared" ca="1" si="121"/>
        <v>#N/A</v>
      </c>
      <c r="P654" s="35" t="e">
        <f t="shared" ca="1" si="129"/>
        <v>#N/A</v>
      </c>
      <c r="Q654" s="59" t="e">
        <f t="shared" ca="1" si="123"/>
        <v>#N/A</v>
      </c>
      <c r="R654" s="44" t="e">
        <f t="shared" ca="1" si="146"/>
        <v>#N/A</v>
      </c>
      <c r="S654" s="37" t="e">
        <f ca="1">IF(P654="","",IF(P654="Total",SUM($S$19:S653),VLOOKUP($P654,$B$12:$L718,11,FALSE)))</f>
        <v>#N/A</v>
      </c>
      <c r="T654" s="44" t="e">
        <f ca="1">IF(payfreq="Annually",IF(P654="","",IF(P654="Total",SUM($T$19:T653),Adj_Rate*$R654)),IF(payfreq="Semiannually",IF(P654="","",IF(P654="Total",SUM($T$19:T653),Adj_Rate/2*$R654)),IF(payfreq="Quarterly",IF(P654="","",IF(P654="Total",SUM($T$19:T653),Adj_Rate/4*$R654)),IF(payfreq="Monthly",IF(P654="","",IF(P654="Total",SUM($T$19:T653),Adj_Rate/12*$R654)),""))))</f>
        <v>#N/A</v>
      </c>
      <c r="U654" s="37" t="e">
        <f t="shared" ca="1" si="147"/>
        <v>#N/A</v>
      </c>
      <c r="V654" s="44" t="e">
        <f t="shared" ca="1" si="148"/>
        <v>#N/A</v>
      </c>
    </row>
    <row r="655" spans="2:22">
      <c r="B655" s="38" t="e">
        <f t="shared" ca="1" si="127"/>
        <v>#N/A</v>
      </c>
      <c r="C655" s="77" t="e">
        <f t="shared" ca="1" si="143"/>
        <v>#N/A</v>
      </c>
      <c r="D655" s="78" t="e">
        <f ca="1">+IF(AND(B655&lt;$G$7),VLOOKUP($B$1,Inventory!$A$1:$BC$500,35,FALSE),IF(AND(B655=$G$7,pmt_timing="End"),VLOOKUP($B$1,Inventory!$A$1:$BC$500,35,FALSE),0))</f>
        <v>#N/A</v>
      </c>
      <c r="E655" s="78">
        <v>0</v>
      </c>
      <c r="F655" s="78">
        <v>0</v>
      </c>
      <c r="G655" s="78">
        <v>0</v>
      </c>
      <c r="H655" s="78">
        <v>0</v>
      </c>
      <c r="I655" s="78">
        <v>0</v>
      </c>
      <c r="J655" s="78">
        <v>0</v>
      </c>
      <c r="K655" s="78">
        <v>0</v>
      </c>
      <c r="L655" s="36" t="e">
        <f t="shared" ca="1" si="144"/>
        <v>#N/A</v>
      </c>
      <c r="M655" s="37" t="e">
        <f t="shared" ca="1" si="145"/>
        <v>#N/A</v>
      </c>
      <c r="N655" s="37" t="e">
        <f t="shared" ca="1" si="121"/>
        <v>#N/A</v>
      </c>
      <c r="P655" s="35" t="e">
        <f t="shared" ca="1" si="129"/>
        <v>#N/A</v>
      </c>
      <c r="Q655" s="59" t="e">
        <f t="shared" ca="1" si="123"/>
        <v>#N/A</v>
      </c>
      <c r="R655" s="44" t="e">
        <f t="shared" ca="1" si="146"/>
        <v>#N/A</v>
      </c>
      <c r="S655" s="37" t="e">
        <f ca="1">IF(P655="","",IF(P655="Total",SUM($S$19:S654),VLOOKUP($P655,$B$12:$L719,11,FALSE)))</f>
        <v>#N/A</v>
      </c>
      <c r="T655" s="44" t="e">
        <f ca="1">IF(payfreq="Annually",IF(P655="","",IF(P655="Total",SUM($T$19:T654),Adj_Rate*$R655)),IF(payfreq="Semiannually",IF(P655="","",IF(P655="Total",SUM($T$19:T654),Adj_Rate/2*$R655)),IF(payfreq="Quarterly",IF(P655="","",IF(P655="Total",SUM($T$19:T654),Adj_Rate/4*$R655)),IF(payfreq="Monthly",IF(P655="","",IF(P655="Total",SUM($T$19:T654),Adj_Rate/12*$R655)),""))))</f>
        <v>#N/A</v>
      </c>
      <c r="U655" s="37" t="e">
        <f t="shared" ca="1" si="147"/>
        <v>#N/A</v>
      </c>
      <c r="V655" s="44" t="e">
        <f t="shared" ca="1" si="148"/>
        <v>#N/A</v>
      </c>
    </row>
    <row r="656" spans="2:22">
      <c r="B656" s="38" t="e">
        <f t="shared" ca="1" si="127"/>
        <v>#N/A</v>
      </c>
      <c r="C656" s="77" t="e">
        <f t="shared" ca="1" si="143"/>
        <v>#N/A</v>
      </c>
      <c r="D656" s="78" t="e">
        <f ca="1">+IF(AND(B656&lt;$G$7),VLOOKUP($B$1,Inventory!$A$1:$BC$500,35,FALSE),IF(AND(B656=$G$7,pmt_timing="End"),VLOOKUP($B$1,Inventory!$A$1:$BC$500,35,FALSE),0))</f>
        <v>#N/A</v>
      </c>
      <c r="E656" s="78">
        <v>0</v>
      </c>
      <c r="F656" s="78">
        <v>0</v>
      </c>
      <c r="G656" s="78">
        <v>0</v>
      </c>
      <c r="H656" s="78">
        <v>0</v>
      </c>
      <c r="I656" s="78">
        <v>0</v>
      </c>
      <c r="J656" s="78">
        <v>0</v>
      </c>
      <c r="K656" s="78">
        <v>0</v>
      </c>
      <c r="L656" s="36" t="e">
        <f t="shared" ca="1" si="144"/>
        <v>#N/A</v>
      </c>
      <c r="M656" s="37" t="e">
        <f t="shared" ca="1" si="145"/>
        <v>#N/A</v>
      </c>
      <c r="N656" s="37" t="e">
        <f t="shared" ca="1" si="121"/>
        <v>#N/A</v>
      </c>
      <c r="P656" s="35" t="e">
        <f t="shared" ca="1" si="129"/>
        <v>#N/A</v>
      </c>
      <c r="Q656" s="59" t="e">
        <f t="shared" ca="1" si="123"/>
        <v>#N/A</v>
      </c>
      <c r="R656" s="44" t="e">
        <f t="shared" ca="1" si="146"/>
        <v>#N/A</v>
      </c>
      <c r="S656" s="37" t="e">
        <f ca="1">IF(P656="","",IF(P656="Total",SUM($S$19:S655),VLOOKUP($P656,$B$12:$L720,11,FALSE)))</f>
        <v>#N/A</v>
      </c>
      <c r="T656" s="44" t="e">
        <f ca="1">IF(payfreq="Annually",IF(P656="","",IF(P656="Total",SUM($T$19:T655),Adj_Rate*$R656)),IF(payfreq="Semiannually",IF(P656="","",IF(P656="Total",SUM($T$19:T655),Adj_Rate/2*$R656)),IF(payfreq="Quarterly",IF(P656="","",IF(P656="Total",SUM($T$19:T655),Adj_Rate/4*$R656)),IF(payfreq="Monthly",IF(P656="","",IF(P656="Total",SUM($T$19:T655),Adj_Rate/12*$R656)),""))))</f>
        <v>#N/A</v>
      </c>
      <c r="U656" s="37" t="e">
        <f t="shared" ca="1" si="147"/>
        <v>#N/A</v>
      </c>
      <c r="V656" s="44" t="e">
        <f t="shared" ca="1" si="148"/>
        <v>#N/A</v>
      </c>
    </row>
    <row r="657" spans="2:22">
      <c r="B657" s="38" t="e">
        <f t="shared" ca="1" si="127"/>
        <v>#N/A</v>
      </c>
      <c r="C657" s="77" t="e">
        <f t="shared" ca="1" si="143"/>
        <v>#N/A</v>
      </c>
      <c r="D657" s="78" t="e">
        <f ca="1">+IF(AND(B657&lt;$G$7),VLOOKUP($B$1,Inventory!$A$1:$BC$500,35,FALSE),IF(AND(B657=$G$7,pmt_timing="End"),VLOOKUP($B$1,Inventory!$A$1:$BC$500,35,FALSE),0))</f>
        <v>#N/A</v>
      </c>
      <c r="E657" s="78">
        <v>0</v>
      </c>
      <c r="F657" s="78">
        <v>0</v>
      </c>
      <c r="G657" s="78">
        <v>0</v>
      </c>
      <c r="H657" s="78">
        <v>0</v>
      </c>
      <c r="I657" s="78">
        <v>0</v>
      </c>
      <c r="J657" s="78">
        <v>0</v>
      </c>
      <c r="K657" s="78">
        <v>0</v>
      </c>
      <c r="L657" s="36" t="e">
        <f t="shared" ca="1" si="144"/>
        <v>#N/A</v>
      </c>
      <c r="M657" s="37" t="e">
        <f t="shared" ca="1" si="145"/>
        <v>#N/A</v>
      </c>
      <c r="N657" s="37" t="e">
        <f t="shared" ca="1" si="121"/>
        <v>#N/A</v>
      </c>
      <c r="P657" s="35" t="e">
        <f t="shared" ca="1" si="129"/>
        <v>#N/A</v>
      </c>
      <c r="Q657" s="59" t="e">
        <f t="shared" ca="1" si="123"/>
        <v>#N/A</v>
      </c>
      <c r="R657" s="44" t="e">
        <f t="shared" ca="1" si="146"/>
        <v>#N/A</v>
      </c>
      <c r="S657" s="37" t="e">
        <f ca="1">IF(P657="","",IF(P657="Total",SUM($S$19:S656),VLOOKUP($P657,$B$12:$L721,11,FALSE)))</f>
        <v>#N/A</v>
      </c>
      <c r="T657" s="44" t="e">
        <f ca="1">IF(payfreq="Annually",IF(P657="","",IF(P657="Total",SUM($T$19:T656),Adj_Rate*$R657)),IF(payfreq="Semiannually",IF(P657="","",IF(P657="Total",SUM($T$19:T656),Adj_Rate/2*$R657)),IF(payfreq="Quarterly",IF(P657="","",IF(P657="Total",SUM($T$19:T656),Adj_Rate/4*$R657)),IF(payfreq="Monthly",IF(P657="","",IF(P657="Total",SUM($T$19:T656),Adj_Rate/12*$R657)),""))))</f>
        <v>#N/A</v>
      </c>
      <c r="U657" s="37" t="e">
        <f t="shared" ca="1" si="147"/>
        <v>#N/A</v>
      </c>
      <c r="V657" s="44" t="e">
        <f t="shared" ca="1" si="148"/>
        <v>#N/A</v>
      </c>
    </row>
    <row r="658" spans="2:22">
      <c r="B658" s="38" t="e">
        <f t="shared" ca="1" si="127"/>
        <v>#N/A</v>
      </c>
      <c r="C658" s="77" t="e">
        <f t="shared" ca="1" si="143"/>
        <v>#N/A</v>
      </c>
      <c r="D658" s="78" t="e">
        <f ca="1">+IF(AND(B658&lt;$G$7),VLOOKUP($B$1,Inventory!$A$1:$BC$500,35,FALSE),IF(AND(B658=$G$7,pmt_timing="End"),VLOOKUP($B$1,Inventory!$A$1:$BC$500,35,FALSE),0))</f>
        <v>#N/A</v>
      </c>
      <c r="E658" s="78">
        <v>0</v>
      </c>
      <c r="F658" s="78">
        <v>0</v>
      </c>
      <c r="G658" s="78">
        <v>0</v>
      </c>
      <c r="H658" s="78">
        <v>0</v>
      </c>
      <c r="I658" s="78">
        <v>0</v>
      </c>
      <c r="J658" s="78">
        <v>0</v>
      </c>
      <c r="K658" s="78">
        <v>0</v>
      </c>
      <c r="L658" s="36" t="e">
        <f t="shared" ca="1" si="144"/>
        <v>#N/A</v>
      </c>
      <c r="M658" s="37" t="e">
        <f t="shared" ca="1" si="145"/>
        <v>#N/A</v>
      </c>
      <c r="N658" s="37" t="e">
        <f t="shared" ca="1" si="121"/>
        <v>#N/A</v>
      </c>
      <c r="P658" s="35" t="e">
        <f t="shared" ca="1" si="129"/>
        <v>#N/A</v>
      </c>
      <c r="Q658" s="59" t="e">
        <f t="shared" ca="1" si="123"/>
        <v>#N/A</v>
      </c>
      <c r="R658" s="44" t="e">
        <f t="shared" ca="1" si="146"/>
        <v>#N/A</v>
      </c>
      <c r="S658" s="37" t="e">
        <f ca="1">IF(P658="","",IF(P658="Total",SUM($S$19:S657),VLOOKUP($P658,$B$12:$L722,11,FALSE)))</f>
        <v>#N/A</v>
      </c>
      <c r="T658" s="44" t="e">
        <f ca="1">IF(payfreq="Annually",IF(P658="","",IF(P658="Total",SUM($T$19:T657),Adj_Rate*$R658)),IF(payfreq="Semiannually",IF(P658="","",IF(P658="Total",SUM($T$19:T657),Adj_Rate/2*$R658)),IF(payfreq="Quarterly",IF(P658="","",IF(P658="Total",SUM($T$19:T657),Adj_Rate/4*$R658)),IF(payfreq="Monthly",IF(P658="","",IF(P658="Total",SUM($T$19:T657),Adj_Rate/12*$R658)),""))))</f>
        <v>#N/A</v>
      </c>
      <c r="U658" s="37" t="e">
        <f t="shared" ca="1" si="147"/>
        <v>#N/A</v>
      </c>
      <c r="V658" s="44" t="e">
        <f t="shared" ca="1" si="148"/>
        <v>#N/A</v>
      </c>
    </row>
    <row r="659" spans="2:22">
      <c r="B659" s="38" t="e">
        <f t="shared" ca="1" si="127"/>
        <v>#N/A</v>
      </c>
      <c r="C659" s="77" t="e">
        <f t="shared" ca="1" si="143"/>
        <v>#N/A</v>
      </c>
      <c r="D659" s="78" t="e">
        <f ca="1">+IF(AND(B659&lt;$G$7),VLOOKUP($B$1,Inventory!$A$1:$BC$500,35,FALSE),IF(AND(B659=$G$7,pmt_timing="End"),VLOOKUP($B$1,Inventory!$A$1:$BC$500,35,FALSE),0))</f>
        <v>#N/A</v>
      </c>
      <c r="E659" s="78">
        <v>0</v>
      </c>
      <c r="F659" s="78">
        <v>0</v>
      </c>
      <c r="G659" s="78">
        <v>0</v>
      </c>
      <c r="H659" s="78">
        <v>0</v>
      </c>
      <c r="I659" s="78">
        <v>0</v>
      </c>
      <c r="J659" s="78">
        <v>0</v>
      </c>
      <c r="K659" s="78">
        <v>0</v>
      </c>
      <c r="L659" s="36" t="e">
        <f t="shared" ca="1" si="144"/>
        <v>#N/A</v>
      </c>
      <c r="M659" s="37" t="e">
        <f t="shared" ca="1" si="145"/>
        <v>#N/A</v>
      </c>
      <c r="N659" s="37" t="e">
        <f t="shared" ref="N659:N722" ca="1" si="149">IF(AND(payfreq="Annually",pmt_timing="Beginning",$B659&lt;=term),$L659/(1+Adj_Rate)^($B659),IF(AND(payfreq="Semiannually",pmt_timing="Beginning",$B659&lt;=term),$L659/(1+Adj_Rate/2)^($B659),IF(AND(payfreq="Quarterly",pmt_timing="Beginning",$B659&lt;=term),$L659/(1+Adj_Rate/4)^($B659),IF(AND(payfreq="Monthly",pmt_timing="Beginning",$B659&lt;=term),$L659/(1+Adj_Rate/12)^($B659),""))))</f>
        <v>#N/A</v>
      </c>
      <c r="P659" s="35" t="e">
        <f t="shared" ca="1" si="129"/>
        <v>#N/A</v>
      </c>
      <c r="Q659" s="59" t="e">
        <f t="shared" ca="1" si="123"/>
        <v>#N/A</v>
      </c>
      <c r="R659" s="44" t="e">
        <f t="shared" ca="1" si="146"/>
        <v>#N/A</v>
      </c>
      <c r="S659" s="37" t="e">
        <f ca="1">IF(P659="","",IF(P659="Total",SUM($S$19:S658),VLOOKUP($P659,$B$12:$L723,11,FALSE)))</f>
        <v>#N/A</v>
      </c>
      <c r="T659" s="44" t="e">
        <f ca="1">IF(payfreq="Annually",IF(P659="","",IF(P659="Total",SUM($T$19:T658),Adj_Rate*$R659)),IF(payfreq="Semiannually",IF(P659="","",IF(P659="Total",SUM($T$19:T658),Adj_Rate/2*$R659)),IF(payfreq="Quarterly",IF(P659="","",IF(P659="Total",SUM($T$19:T658),Adj_Rate/4*$R659)),IF(payfreq="Monthly",IF(P659="","",IF(P659="Total",SUM($T$19:T658),Adj_Rate/12*$R659)),""))))</f>
        <v>#N/A</v>
      </c>
      <c r="U659" s="37" t="e">
        <f t="shared" ca="1" si="147"/>
        <v>#N/A</v>
      </c>
      <c r="V659" s="44" t="e">
        <f t="shared" ca="1" si="148"/>
        <v>#N/A</v>
      </c>
    </row>
    <row r="660" spans="2:22">
      <c r="B660" s="38" t="e">
        <f t="shared" ca="1" si="127"/>
        <v>#N/A</v>
      </c>
      <c r="C660" s="77" t="e">
        <f t="shared" ca="1" si="143"/>
        <v>#N/A</v>
      </c>
      <c r="D660" s="78" t="e">
        <f ca="1">+IF(AND(B660&lt;$G$7),VLOOKUP($B$1,Inventory!$A$1:$BC$500,35,FALSE),IF(AND(B660=$G$7,pmt_timing="End"),VLOOKUP($B$1,Inventory!$A$1:$BC$500,35,FALSE),0))</f>
        <v>#N/A</v>
      </c>
      <c r="E660" s="78">
        <v>0</v>
      </c>
      <c r="F660" s="78">
        <v>0</v>
      </c>
      <c r="G660" s="78">
        <v>0</v>
      </c>
      <c r="H660" s="78">
        <v>0</v>
      </c>
      <c r="I660" s="78">
        <v>0</v>
      </c>
      <c r="J660" s="78">
        <v>0</v>
      </c>
      <c r="K660" s="78">
        <v>0</v>
      </c>
      <c r="L660" s="36" t="e">
        <f t="shared" ca="1" si="144"/>
        <v>#N/A</v>
      </c>
      <c r="M660" s="37" t="e">
        <f t="shared" ca="1" si="145"/>
        <v>#N/A</v>
      </c>
      <c r="N660" s="37" t="e">
        <f t="shared" ca="1" si="149"/>
        <v>#N/A</v>
      </c>
      <c r="P660" s="35" t="e">
        <f t="shared" ca="1" si="129"/>
        <v>#N/A</v>
      </c>
      <c r="Q660" s="59" t="e">
        <f t="shared" ref="Q660:Q723" ca="1" si="150">IF(P660="","",IF(P660="total","",IF(payfreq="Annually",DATE(YEAR(Q659)+1,MONTH(Q659),DAY(Q659)),IF(payfreq="Semiannually",DATE(YEAR(Q659),MONTH(Q659)+6,DAY(Q659)),IF(payfreq="Quarterly",DATE(YEAR(Q659),MONTH(Q659)+3,DAY(Q659)),IF(payfreq="Monthly",DATE(YEAR(Q659),MONTH(Q659)+1,DAY(Q659))))))))</f>
        <v>#N/A</v>
      </c>
      <c r="R660" s="44" t="e">
        <f t="shared" ca="1" si="146"/>
        <v>#N/A</v>
      </c>
      <c r="S660" s="37" t="e">
        <f ca="1">IF(P660="","",IF(P660="Total",SUM($S$19:S659),VLOOKUP($P660,$B$12:$L724,11,FALSE)))</f>
        <v>#N/A</v>
      </c>
      <c r="T660" s="44" t="e">
        <f ca="1">IF(payfreq="Annually",IF(P660="","",IF(P660="Total",SUM($T$19:T659),Adj_Rate*$R660)),IF(payfreq="Semiannually",IF(P660="","",IF(P660="Total",SUM($T$19:T659),Adj_Rate/2*$R660)),IF(payfreq="Quarterly",IF(P660="","",IF(P660="Total",SUM($T$19:T659),Adj_Rate/4*$R660)),IF(payfreq="Monthly",IF(P660="","",IF(P660="Total",SUM($T$19:T659),Adj_Rate/12*$R660)),""))))</f>
        <v>#N/A</v>
      </c>
      <c r="U660" s="37" t="e">
        <f t="shared" ca="1" si="147"/>
        <v>#N/A</v>
      </c>
      <c r="V660" s="44" t="e">
        <f t="shared" ca="1" si="148"/>
        <v>#N/A</v>
      </c>
    </row>
    <row r="661" spans="2:22">
      <c r="B661" s="38" t="e">
        <f t="shared" ref="B661:B724" ca="1" si="151">IF(B660&lt;term,B660+1,"")</f>
        <v>#N/A</v>
      </c>
      <c r="C661" s="77" t="e">
        <f t="shared" ca="1" si="143"/>
        <v>#N/A</v>
      </c>
      <c r="D661" s="78" t="e">
        <f ca="1">+IF(AND(B661&lt;$G$7),VLOOKUP($B$1,Inventory!$A$1:$BC$500,35,FALSE),IF(AND(B661=$G$7,pmt_timing="End"),VLOOKUP($B$1,Inventory!$A$1:$BC$500,35,FALSE),0))</f>
        <v>#N/A</v>
      </c>
      <c r="E661" s="78">
        <v>0</v>
      </c>
      <c r="F661" s="78">
        <v>0</v>
      </c>
      <c r="G661" s="78">
        <v>0</v>
      </c>
      <c r="H661" s="78">
        <v>0</v>
      </c>
      <c r="I661" s="78">
        <v>0</v>
      </c>
      <c r="J661" s="78">
        <v>0</v>
      </c>
      <c r="K661" s="78">
        <v>0</v>
      </c>
      <c r="L661" s="36" t="e">
        <f t="shared" ca="1" si="144"/>
        <v>#N/A</v>
      </c>
      <c r="M661" s="37" t="e">
        <f t="shared" ca="1" si="145"/>
        <v>#N/A</v>
      </c>
      <c r="N661" s="37" t="e">
        <f t="shared" ca="1" si="149"/>
        <v>#N/A</v>
      </c>
      <c r="P661" s="35" t="e">
        <f t="shared" ref="P661:P724" ca="1" si="152">IF(P660&lt;term,P660+1,IF(P660=term,"Total",""))</f>
        <v>#N/A</v>
      </c>
      <c r="Q661" s="59" t="e">
        <f t="shared" ca="1" si="150"/>
        <v>#N/A</v>
      </c>
      <c r="R661" s="44" t="e">
        <f t="shared" ca="1" si="146"/>
        <v>#N/A</v>
      </c>
      <c r="S661" s="37" t="e">
        <f ca="1">IF(P661="","",IF(P661="Total",SUM($S$19:S660),VLOOKUP($P661,$B$12:$L725,11,FALSE)))</f>
        <v>#N/A</v>
      </c>
      <c r="T661" s="44" t="e">
        <f ca="1">IF(payfreq="Annually",IF(P661="","",IF(P661="Total",SUM($T$19:T660),Adj_Rate*$R661)),IF(payfreq="Semiannually",IF(P661="","",IF(P661="Total",SUM($T$19:T660),Adj_Rate/2*$R661)),IF(payfreq="Quarterly",IF(P661="","",IF(P661="Total",SUM($T$19:T660),Adj_Rate/4*$R661)),IF(payfreq="Monthly",IF(P661="","",IF(P661="Total",SUM($T$19:T660),Adj_Rate/12*$R661)),""))))</f>
        <v>#N/A</v>
      </c>
      <c r="U661" s="37" t="e">
        <f t="shared" ca="1" si="147"/>
        <v>#N/A</v>
      </c>
      <c r="V661" s="44" t="e">
        <f t="shared" ca="1" si="148"/>
        <v>#N/A</v>
      </c>
    </row>
    <row r="662" spans="2:22">
      <c r="B662" s="38" t="e">
        <f t="shared" ca="1" si="151"/>
        <v>#N/A</v>
      </c>
      <c r="C662" s="77" t="e">
        <f t="shared" ca="1" si="143"/>
        <v>#N/A</v>
      </c>
      <c r="D662" s="78" t="e">
        <f ca="1">+IF(AND(B662&lt;$G$7),VLOOKUP($B$1,Inventory!$A$1:$BC$500,35,FALSE),IF(AND(B662=$G$7,pmt_timing="End"),VLOOKUP($B$1,Inventory!$A$1:$BC$500,35,FALSE),0))</f>
        <v>#N/A</v>
      </c>
      <c r="E662" s="78">
        <v>0</v>
      </c>
      <c r="F662" s="78">
        <v>0</v>
      </c>
      <c r="G662" s="78">
        <v>0</v>
      </c>
      <c r="H662" s="78">
        <v>0</v>
      </c>
      <c r="I662" s="78">
        <v>0</v>
      </c>
      <c r="J662" s="78">
        <v>0</v>
      </c>
      <c r="K662" s="78">
        <v>0</v>
      </c>
      <c r="L662" s="36" t="e">
        <f t="shared" ca="1" si="144"/>
        <v>#N/A</v>
      </c>
      <c r="M662" s="37" t="e">
        <f t="shared" ca="1" si="145"/>
        <v>#N/A</v>
      </c>
      <c r="N662" s="37" t="e">
        <f t="shared" ca="1" si="149"/>
        <v>#N/A</v>
      </c>
      <c r="P662" s="35" t="e">
        <f t="shared" ca="1" si="152"/>
        <v>#N/A</v>
      </c>
      <c r="Q662" s="59" t="e">
        <f t="shared" ca="1" si="150"/>
        <v>#N/A</v>
      </c>
      <c r="R662" s="44" t="e">
        <f t="shared" ca="1" si="146"/>
        <v>#N/A</v>
      </c>
      <c r="S662" s="37" t="e">
        <f ca="1">IF(P662="","",IF(P662="Total",SUM($S$19:S661),VLOOKUP($P662,$B$12:$L726,11,FALSE)))</f>
        <v>#N/A</v>
      </c>
      <c r="T662" s="44" t="e">
        <f ca="1">IF(payfreq="Annually",IF(P662="","",IF(P662="Total",SUM($T$19:T661),Adj_Rate*$R662)),IF(payfreq="Semiannually",IF(P662="","",IF(P662="Total",SUM($T$19:T661),Adj_Rate/2*$R662)),IF(payfreq="Quarterly",IF(P662="","",IF(P662="Total",SUM($T$19:T661),Adj_Rate/4*$R662)),IF(payfreq="Monthly",IF(P662="","",IF(P662="Total",SUM($T$19:T661),Adj_Rate/12*$R662)),""))))</f>
        <v>#N/A</v>
      </c>
      <c r="U662" s="37" t="e">
        <f t="shared" ca="1" si="147"/>
        <v>#N/A</v>
      </c>
      <c r="V662" s="44" t="e">
        <f t="shared" ca="1" si="148"/>
        <v>#N/A</v>
      </c>
    </row>
    <row r="663" spans="2:22">
      <c r="B663" s="38" t="e">
        <f t="shared" ca="1" si="151"/>
        <v>#N/A</v>
      </c>
      <c r="C663" s="77" t="e">
        <f t="shared" ca="1" si="143"/>
        <v>#N/A</v>
      </c>
      <c r="D663" s="78" t="e">
        <f ca="1">+IF(AND(B663&lt;$G$7),VLOOKUP($B$1,Inventory!$A$1:$BC$500,35,FALSE),IF(AND(B663=$G$7,pmt_timing="End"),VLOOKUP($B$1,Inventory!$A$1:$BC$500,35,FALSE),0))</f>
        <v>#N/A</v>
      </c>
      <c r="E663" s="78">
        <v>0</v>
      </c>
      <c r="F663" s="78">
        <v>0</v>
      </c>
      <c r="G663" s="78">
        <v>0</v>
      </c>
      <c r="H663" s="78">
        <v>0</v>
      </c>
      <c r="I663" s="78">
        <v>0</v>
      </c>
      <c r="J663" s="78">
        <v>0</v>
      </c>
      <c r="K663" s="78">
        <v>0</v>
      </c>
      <c r="L663" s="36" t="e">
        <f t="shared" ca="1" si="144"/>
        <v>#N/A</v>
      </c>
      <c r="M663" s="37" t="e">
        <f t="shared" ca="1" si="145"/>
        <v>#N/A</v>
      </c>
      <c r="N663" s="37" t="e">
        <f t="shared" ca="1" si="149"/>
        <v>#N/A</v>
      </c>
      <c r="P663" s="35" t="e">
        <f t="shared" ca="1" si="152"/>
        <v>#N/A</v>
      </c>
      <c r="Q663" s="59" t="e">
        <f t="shared" ca="1" si="150"/>
        <v>#N/A</v>
      </c>
      <c r="R663" s="44" t="e">
        <f t="shared" ca="1" si="146"/>
        <v>#N/A</v>
      </c>
      <c r="S663" s="37" t="e">
        <f ca="1">IF(P663="","",IF(P663="Total",SUM($S$19:S662),VLOOKUP($P663,$B$12:$L727,11,FALSE)))</f>
        <v>#N/A</v>
      </c>
      <c r="T663" s="44" t="e">
        <f ca="1">IF(payfreq="Annually",IF(P663="","",IF(P663="Total",SUM($T$19:T662),Adj_Rate*$R663)),IF(payfreq="Semiannually",IF(P663="","",IF(P663="Total",SUM($T$19:T662),Adj_Rate/2*$R663)),IF(payfreq="Quarterly",IF(P663="","",IF(P663="Total",SUM($T$19:T662),Adj_Rate/4*$R663)),IF(payfreq="Monthly",IF(P663="","",IF(P663="Total",SUM($T$19:T662),Adj_Rate/12*$R663)),""))))</f>
        <v>#N/A</v>
      </c>
      <c r="U663" s="37" t="e">
        <f t="shared" ca="1" si="147"/>
        <v>#N/A</v>
      </c>
      <c r="V663" s="44" t="e">
        <f t="shared" ca="1" si="148"/>
        <v>#N/A</v>
      </c>
    </row>
    <row r="664" spans="2:22">
      <c r="B664" s="38" t="e">
        <f t="shared" ca="1" si="151"/>
        <v>#N/A</v>
      </c>
      <c r="C664" s="77" t="e">
        <f t="shared" ca="1" si="143"/>
        <v>#N/A</v>
      </c>
      <c r="D664" s="78" t="e">
        <f ca="1">+IF(AND(B664&lt;$G$7),VLOOKUP($B$1,Inventory!$A$1:$BC$500,35,FALSE),IF(AND(B664=$G$7,pmt_timing="End"),VLOOKUP($B$1,Inventory!$A$1:$BC$500,35,FALSE),0))</f>
        <v>#N/A</v>
      </c>
      <c r="E664" s="78">
        <v>0</v>
      </c>
      <c r="F664" s="78">
        <v>0</v>
      </c>
      <c r="G664" s="78">
        <v>0</v>
      </c>
      <c r="H664" s="78">
        <v>0</v>
      </c>
      <c r="I664" s="78">
        <v>0</v>
      </c>
      <c r="J664" s="78">
        <v>0</v>
      </c>
      <c r="K664" s="78">
        <v>0</v>
      </c>
      <c r="L664" s="36" t="e">
        <f t="shared" ca="1" si="144"/>
        <v>#N/A</v>
      </c>
      <c r="M664" s="37" t="e">
        <f t="shared" ca="1" si="145"/>
        <v>#N/A</v>
      </c>
      <c r="N664" s="37" t="e">
        <f t="shared" ca="1" si="149"/>
        <v>#N/A</v>
      </c>
      <c r="P664" s="35" t="e">
        <f t="shared" ca="1" si="152"/>
        <v>#N/A</v>
      </c>
      <c r="Q664" s="59" t="e">
        <f t="shared" ca="1" si="150"/>
        <v>#N/A</v>
      </c>
      <c r="R664" s="44" t="e">
        <f t="shared" ca="1" si="146"/>
        <v>#N/A</v>
      </c>
      <c r="S664" s="37" t="e">
        <f ca="1">IF(P664="","",IF(P664="Total",SUM($S$19:S663),VLOOKUP($P664,$B$12:$L728,11,FALSE)))</f>
        <v>#N/A</v>
      </c>
      <c r="T664" s="44" t="e">
        <f ca="1">IF(payfreq="Annually",IF(P664="","",IF(P664="Total",SUM($T$19:T663),Adj_Rate*$R664)),IF(payfreq="Semiannually",IF(P664="","",IF(P664="Total",SUM($T$19:T663),Adj_Rate/2*$R664)),IF(payfreq="Quarterly",IF(P664="","",IF(P664="Total",SUM($T$19:T663),Adj_Rate/4*$R664)),IF(payfreq="Monthly",IF(P664="","",IF(P664="Total",SUM($T$19:T663),Adj_Rate/12*$R664)),""))))</f>
        <v>#N/A</v>
      </c>
      <c r="U664" s="37" t="e">
        <f t="shared" ca="1" si="147"/>
        <v>#N/A</v>
      </c>
      <c r="V664" s="44" t="e">
        <f t="shared" ca="1" si="148"/>
        <v>#N/A</v>
      </c>
    </row>
    <row r="665" spans="2:22">
      <c r="B665" s="38" t="e">
        <f t="shared" ca="1" si="151"/>
        <v>#N/A</v>
      </c>
      <c r="C665" s="77" t="e">
        <f t="shared" ca="1" si="143"/>
        <v>#N/A</v>
      </c>
      <c r="D665" s="78" t="e">
        <f ca="1">+IF(AND(B665&lt;$G$7),VLOOKUP($B$1,Inventory!$A$1:$BC$500,35,FALSE),IF(AND(B665=$G$7,pmt_timing="End"),VLOOKUP($B$1,Inventory!$A$1:$BC$500,35,FALSE),0))</f>
        <v>#N/A</v>
      </c>
      <c r="E665" s="78">
        <v>0</v>
      </c>
      <c r="F665" s="78">
        <v>0</v>
      </c>
      <c r="G665" s="78">
        <v>0</v>
      </c>
      <c r="H665" s="78">
        <v>0</v>
      </c>
      <c r="I665" s="78">
        <v>0</v>
      </c>
      <c r="J665" s="78">
        <v>0</v>
      </c>
      <c r="K665" s="78">
        <v>0</v>
      </c>
      <c r="L665" s="36" t="e">
        <f t="shared" ca="1" si="144"/>
        <v>#N/A</v>
      </c>
      <c r="M665" s="37" t="e">
        <f t="shared" ca="1" si="145"/>
        <v>#N/A</v>
      </c>
      <c r="N665" s="37" t="e">
        <f t="shared" ca="1" si="149"/>
        <v>#N/A</v>
      </c>
      <c r="P665" s="35" t="e">
        <f t="shared" ca="1" si="152"/>
        <v>#N/A</v>
      </c>
      <c r="Q665" s="59" t="e">
        <f t="shared" ca="1" si="150"/>
        <v>#N/A</v>
      </c>
      <c r="R665" s="44" t="e">
        <f t="shared" ca="1" si="146"/>
        <v>#N/A</v>
      </c>
      <c r="S665" s="37" t="e">
        <f ca="1">IF(P665="","",IF(P665="Total",SUM($S$19:S664),VLOOKUP($P665,$B$12:$L729,11,FALSE)))</f>
        <v>#N/A</v>
      </c>
      <c r="T665" s="44" t="e">
        <f ca="1">IF(payfreq="Annually",IF(P665="","",IF(P665="Total",SUM($T$19:T664),Adj_Rate*$R665)),IF(payfreq="Semiannually",IF(P665="","",IF(P665="Total",SUM($T$19:T664),Adj_Rate/2*$R665)),IF(payfreq="Quarterly",IF(P665="","",IF(P665="Total",SUM($T$19:T664),Adj_Rate/4*$R665)),IF(payfreq="Monthly",IF(P665="","",IF(P665="Total",SUM($T$19:T664),Adj_Rate/12*$R665)),""))))</f>
        <v>#N/A</v>
      </c>
      <c r="U665" s="37" t="e">
        <f t="shared" ca="1" si="147"/>
        <v>#N/A</v>
      </c>
      <c r="V665" s="44" t="e">
        <f t="shared" ca="1" si="148"/>
        <v>#N/A</v>
      </c>
    </row>
    <row r="666" spans="2:22">
      <c r="B666" s="38" t="e">
        <f t="shared" ca="1" si="151"/>
        <v>#N/A</v>
      </c>
      <c r="C666" s="77" t="e">
        <f t="shared" ca="1" si="143"/>
        <v>#N/A</v>
      </c>
      <c r="D666" s="78" t="e">
        <f ca="1">+IF(AND(B666&lt;$G$7),VLOOKUP($B$1,Inventory!$A$1:$BC$500,35,FALSE),IF(AND(B666=$G$7,pmt_timing="End"),VLOOKUP($B$1,Inventory!$A$1:$BC$500,35,FALSE),0))</f>
        <v>#N/A</v>
      </c>
      <c r="E666" s="78">
        <v>0</v>
      </c>
      <c r="F666" s="78">
        <v>0</v>
      </c>
      <c r="G666" s="78">
        <v>0</v>
      </c>
      <c r="H666" s="78">
        <v>0</v>
      </c>
      <c r="I666" s="78">
        <v>0</v>
      </c>
      <c r="J666" s="78">
        <v>0</v>
      </c>
      <c r="K666" s="78">
        <v>0</v>
      </c>
      <c r="L666" s="36" t="e">
        <f t="shared" ca="1" si="144"/>
        <v>#N/A</v>
      </c>
      <c r="M666" s="37" t="e">
        <f t="shared" ca="1" si="145"/>
        <v>#N/A</v>
      </c>
      <c r="N666" s="37" t="e">
        <f t="shared" ca="1" si="149"/>
        <v>#N/A</v>
      </c>
      <c r="P666" s="35" t="e">
        <f t="shared" ca="1" si="152"/>
        <v>#N/A</v>
      </c>
      <c r="Q666" s="59" t="e">
        <f t="shared" ca="1" si="150"/>
        <v>#N/A</v>
      </c>
      <c r="R666" s="44" t="e">
        <f t="shared" ca="1" si="146"/>
        <v>#N/A</v>
      </c>
      <c r="S666" s="37" t="e">
        <f ca="1">IF(P666="","",IF(P666="Total",SUM($S$19:S665),VLOOKUP($P666,$B$12:$L730,11,FALSE)))</f>
        <v>#N/A</v>
      </c>
      <c r="T666" s="44" t="e">
        <f ca="1">IF(payfreq="Annually",IF(P666="","",IF(P666="Total",SUM($T$19:T665),Adj_Rate*$R666)),IF(payfreq="Semiannually",IF(P666="","",IF(P666="Total",SUM($T$19:T665),Adj_Rate/2*$R666)),IF(payfreq="Quarterly",IF(P666="","",IF(P666="Total",SUM($T$19:T665),Adj_Rate/4*$R666)),IF(payfreq="Monthly",IF(P666="","",IF(P666="Total",SUM($T$19:T665),Adj_Rate/12*$R666)),""))))</f>
        <v>#N/A</v>
      </c>
      <c r="U666" s="37" t="e">
        <f t="shared" ca="1" si="147"/>
        <v>#N/A</v>
      </c>
      <c r="V666" s="44" t="e">
        <f t="shared" ca="1" si="148"/>
        <v>#N/A</v>
      </c>
    </row>
    <row r="667" spans="2:22">
      <c r="B667" s="38" t="e">
        <f t="shared" ca="1" si="151"/>
        <v>#N/A</v>
      </c>
      <c r="C667" s="77" t="e">
        <f t="shared" ca="1" si="143"/>
        <v>#N/A</v>
      </c>
      <c r="D667" s="78" t="e">
        <f ca="1">+IF(AND(B667&lt;$G$7),VLOOKUP($B$1,Inventory!$A$1:$BC$500,35,FALSE),IF(AND(B667=$G$7,pmt_timing="End"),VLOOKUP($B$1,Inventory!$A$1:$BC$500,35,FALSE),0))</f>
        <v>#N/A</v>
      </c>
      <c r="E667" s="78">
        <v>0</v>
      </c>
      <c r="F667" s="78">
        <v>0</v>
      </c>
      <c r="G667" s="78">
        <v>0</v>
      </c>
      <c r="H667" s="78">
        <v>0</v>
      </c>
      <c r="I667" s="78">
        <v>0</v>
      </c>
      <c r="J667" s="78">
        <v>0</v>
      </c>
      <c r="K667" s="78">
        <v>0</v>
      </c>
      <c r="L667" s="36" t="e">
        <f t="shared" ca="1" si="144"/>
        <v>#N/A</v>
      </c>
      <c r="M667" s="37" t="e">
        <f t="shared" ca="1" si="145"/>
        <v>#N/A</v>
      </c>
      <c r="N667" s="37" t="e">
        <f t="shared" ca="1" si="149"/>
        <v>#N/A</v>
      </c>
      <c r="P667" s="35" t="e">
        <f t="shared" ca="1" si="152"/>
        <v>#N/A</v>
      </c>
      <c r="Q667" s="59" t="e">
        <f t="shared" ca="1" si="150"/>
        <v>#N/A</v>
      </c>
      <c r="R667" s="44" t="e">
        <f t="shared" ca="1" si="146"/>
        <v>#N/A</v>
      </c>
      <c r="S667" s="37" t="e">
        <f ca="1">IF(P667="","",IF(P667="Total",SUM($S$19:S666),VLOOKUP($P667,$B$12:$L731,11,FALSE)))</f>
        <v>#N/A</v>
      </c>
      <c r="T667" s="44" t="e">
        <f ca="1">IF(payfreq="Annually",IF(P667="","",IF(P667="Total",SUM($T$19:T666),Adj_Rate*$R667)),IF(payfreq="Semiannually",IF(P667="","",IF(P667="Total",SUM($T$19:T666),Adj_Rate/2*$R667)),IF(payfreq="Quarterly",IF(P667="","",IF(P667="Total",SUM($T$19:T666),Adj_Rate/4*$R667)),IF(payfreq="Monthly",IF(P667="","",IF(P667="Total",SUM($T$19:T666),Adj_Rate/12*$R667)),""))))</f>
        <v>#N/A</v>
      </c>
      <c r="U667" s="37" t="e">
        <f t="shared" ca="1" si="147"/>
        <v>#N/A</v>
      </c>
      <c r="V667" s="44" t="e">
        <f t="shared" ca="1" si="148"/>
        <v>#N/A</v>
      </c>
    </row>
    <row r="668" spans="2:22">
      <c r="B668" s="38" t="e">
        <f t="shared" ca="1" si="151"/>
        <v>#N/A</v>
      </c>
      <c r="C668" s="77" t="e">
        <f t="shared" ca="1" si="143"/>
        <v>#N/A</v>
      </c>
      <c r="D668" s="78" t="e">
        <f ca="1">+IF(AND(B668&lt;$G$7),VLOOKUP($B$1,Inventory!$A$1:$BC$500,35,FALSE),IF(AND(B668=$G$7,pmt_timing="End"),VLOOKUP($B$1,Inventory!$A$1:$BC$500,35,FALSE),0))</f>
        <v>#N/A</v>
      </c>
      <c r="E668" s="78">
        <v>0</v>
      </c>
      <c r="F668" s="78">
        <v>0</v>
      </c>
      <c r="G668" s="78">
        <v>0</v>
      </c>
      <c r="H668" s="78">
        <v>0</v>
      </c>
      <c r="I668" s="78">
        <v>0</v>
      </c>
      <c r="J668" s="78">
        <v>0</v>
      </c>
      <c r="K668" s="78">
        <v>0</v>
      </c>
      <c r="L668" s="36" t="e">
        <f t="shared" ca="1" si="144"/>
        <v>#N/A</v>
      </c>
      <c r="M668" s="37" t="e">
        <f t="shared" ca="1" si="145"/>
        <v>#N/A</v>
      </c>
      <c r="N668" s="37" t="e">
        <f t="shared" ca="1" si="149"/>
        <v>#N/A</v>
      </c>
      <c r="P668" s="35" t="e">
        <f t="shared" ca="1" si="152"/>
        <v>#N/A</v>
      </c>
      <c r="Q668" s="59" t="e">
        <f t="shared" ca="1" si="150"/>
        <v>#N/A</v>
      </c>
      <c r="R668" s="44" t="e">
        <f t="shared" ca="1" si="146"/>
        <v>#N/A</v>
      </c>
      <c r="S668" s="37" t="e">
        <f ca="1">IF(P668="","",IF(P668="Total",SUM($S$19:S667),VLOOKUP($P668,$B$12:$L732,11,FALSE)))</f>
        <v>#N/A</v>
      </c>
      <c r="T668" s="44" t="e">
        <f ca="1">IF(payfreq="Annually",IF(P668="","",IF(P668="Total",SUM($T$19:T667),Adj_Rate*$R668)),IF(payfreq="Semiannually",IF(P668="","",IF(P668="Total",SUM($T$19:T667),Adj_Rate/2*$R668)),IF(payfreq="Quarterly",IF(P668="","",IF(P668="Total",SUM($T$19:T667),Adj_Rate/4*$R668)),IF(payfreq="Monthly",IF(P668="","",IF(P668="Total",SUM($T$19:T667),Adj_Rate/12*$R668)),""))))</f>
        <v>#N/A</v>
      </c>
      <c r="U668" s="37" t="e">
        <f t="shared" ca="1" si="147"/>
        <v>#N/A</v>
      </c>
      <c r="V668" s="44" t="e">
        <f t="shared" ca="1" si="148"/>
        <v>#N/A</v>
      </c>
    </row>
    <row r="669" spans="2:22">
      <c r="B669" s="38" t="e">
        <f t="shared" ca="1" si="151"/>
        <v>#N/A</v>
      </c>
      <c r="C669" s="77" t="e">
        <f t="shared" ca="1" si="143"/>
        <v>#N/A</v>
      </c>
      <c r="D669" s="78" t="e">
        <f ca="1">+IF(AND(B669&lt;$G$7),VLOOKUP($B$1,Inventory!$A$1:$BC$500,35,FALSE),IF(AND(B669=$G$7,pmt_timing="End"),VLOOKUP($B$1,Inventory!$A$1:$BC$500,35,FALSE),0))</f>
        <v>#N/A</v>
      </c>
      <c r="E669" s="78">
        <v>0</v>
      </c>
      <c r="F669" s="78">
        <v>0</v>
      </c>
      <c r="G669" s="78">
        <v>0</v>
      </c>
      <c r="H669" s="78">
        <v>0</v>
      </c>
      <c r="I669" s="78">
        <v>0</v>
      </c>
      <c r="J669" s="78">
        <v>0</v>
      </c>
      <c r="K669" s="78">
        <v>0</v>
      </c>
      <c r="L669" s="36" t="e">
        <f t="shared" ca="1" si="144"/>
        <v>#N/A</v>
      </c>
      <c r="M669" s="37" t="e">
        <f t="shared" ca="1" si="145"/>
        <v>#N/A</v>
      </c>
      <c r="N669" s="37" t="e">
        <f t="shared" ca="1" si="149"/>
        <v>#N/A</v>
      </c>
      <c r="P669" s="35" t="e">
        <f t="shared" ca="1" si="152"/>
        <v>#N/A</v>
      </c>
      <c r="Q669" s="59" t="e">
        <f t="shared" ca="1" si="150"/>
        <v>#N/A</v>
      </c>
      <c r="R669" s="44" t="e">
        <f t="shared" ca="1" si="146"/>
        <v>#N/A</v>
      </c>
      <c r="S669" s="37" t="e">
        <f ca="1">IF(P669="","",IF(P669="Total",SUM($S$19:S668),VLOOKUP($P669,$B$12:$L733,11,FALSE)))</f>
        <v>#N/A</v>
      </c>
      <c r="T669" s="44" t="e">
        <f ca="1">IF(payfreq="Annually",IF(P669="","",IF(P669="Total",SUM($T$19:T668),Adj_Rate*$R669)),IF(payfreq="Semiannually",IF(P669="","",IF(P669="Total",SUM($T$19:T668),Adj_Rate/2*$R669)),IF(payfreq="Quarterly",IF(P669="","",IF(P669="Total",SUM($T$19:T668),Adj_Rate/4*$R669)),IF(payfreq="Monthly",IF(P669="","",IF(P669="Total",SUM($T$19:T668),Adj_Rate/12*$R669)),""))))</f>
        <v>#N/A</v>
      </c>
      <c r="U669" s="37" t="e">
        <f t="shared" ca="1" si="147"/>
        <v>#N/A</v>
      </c>
      <c r="V669" s="44" t="e">
        <f t="shared" ca="1" si="148"/>
        <v>#N/A</v>
      </c>
    </row>
    <row r="670" spans="2:22">
      <c r="B670" s="38" t="e">
        <f t="shared" ca="1" si="151"/>
        <v>#N/A</v>
      </c>
      <c r="C670" s="77" t="e">
        <f t="shared" ca="1" si="143"/>
        <v>#N/A</v>
      </c>
      <c r="D670" s="78" t="e">
        <f ca="1">+IF(AND(B670&lt;$G$7),VLOOKUP($B$1,Inventory!$A$1:$BC$500,35,FALSE),IF(AND(B670=$G$7,pmt_timing="End"),VLOOKUP($B$1,Inventory!$A$1:$BC$500,35,FALSE),0))</f>
        <v>#N/A</v>
      </c>
      <c r="E670" s="78">
        <v>0</v>
      </c>
      <c r="F670" s="78">
        <v>0</v>
      </c>
      <c r="G670" s="78">
        <v>0</v>
      </c>
      <c r="H670" s="78">
        <v>0</v>
      </c>
      <c r="I670" s="78">
        <v>0</v>
      </c>
      <c r="J670" s="78">
        <v>0</v>
      </c>
      <c r="K670" s="78">
        <v>0</v>
      </c>
      <c r="L670" s="36" t="e">
        <f t="shared" ca="1" si="144"/>
        <v>#N/A</v>
      </c>
      <c r="M670" s="37" t="e">
        <f t="shared" ca="1" si="145"/>
        <v>#N/A</v>
      </c>
      <c r="N670" s="37" t="e">
        <f t="shared" ca="1" si="149"/>
        <v>#N/A</v>
      </c>
      <c r="P670" s="35" t="e">
        <f t="shared" ca="1" si="152"/>
        <v>#N/A</v>
      </c>
      <c r="Q670" s="59" t="e">
        <f t="shared" ca="1" si="150"/>
        <v>#N/A</v>
      </c>
      <c r="R670" s="44" t="e">
        <f t="shared" ca="1" si="146"/>
        <v>#N/A</v>
      </c>
      <c r="S670" s="37" t="e">
        <f ca="1">IF(P670="","",IF(P670="Total",SUM($S$19:S669),VLOOKUP($P670,$B$12:$L734,11,FALSE)))</f>
        <v>#N/A</v>
      </c>
      <c r="T670" s="44" t="e">
        <f ca="1">IF(payfreq="Annually",IF(P670="","",IF(P670="Total",SUM($T$19:T669),Adj_Rate*$R670)),IF(payfreq="Semiannually",IF(P670="","",IF(P670="Total",SUM($T$19:T669),Adj_Rate/2*$R670)),IF(payfreq="Quarterly",IF(P670="","",IF(P670="Total",SUM($T$19:T669),Adj_Rate/4*$R670)),IF(payfreq="Monthly",IF(P670="","",IF(P670="Total",SUM($T$19:T669),Adj_Rate/12*$R670)),""))))</f>
        <v>#N/A</v>
      </c>
      <c r="U670" s="37" t="e">
        <f t="shared" ca="1" si="147"/>
        <v>#N/A</v>
      </c>
      <c r="V670" s="44" t="e">
        <f t="shared" ca="1" si="148"/>
        <v>#N/A</v>
      </c>
    </row>
    <row r="671" spans="2:22">
      <c r="B671" s="38" t="e">
        <f t="shared" ca="1" si="151"/>
        <v>#N/A</v>
      </c>
      <c r="C671" s="77" t="e">
        <f t="shared" ca="1" si="143"/>
        <v>#N/A</v>
      </c>
      <c r="D671" s="78" t="e">
        <f ca="1">+IF(AND(B671&lt;$G$7),VLOOKUP($B$1,Inventory!$A$1:$BC$500,35,FALSE),IF(AND(B671=$G$7,pmt_timing="End"),VLOOKUP($B$1,Inventory!$A$1:$BC$500,35,FALSE),0))</f>
        <v>#N/A</v>
      </c>
      <c r="E671" s="78">
        <v>0</v>
      </c>
      <c r="F671" s="78">
        <v>0</v>
      </c>
      <c r="G671" s="78">
        <v>0</v>
      </c>
      <c r="H671" s="78">
        <v>0</v>
      </c>
      <c r="I671" s="78">
        <v>0</v>
      </c>
      <c r="J671" s="78">
        <v>0</v>
      </c>
      <c r="K671" s="78">
        <v>0</v>
      </c>
      <c r="L671" s="36" t="e">
        <f t="shared" ca="1" si="144"/>
        <v>#N/A</v>
      </c>
      <c r="M671" s="37" t="e">
        <f t="shared" ca="1" si="145"/>
        <v>#N/A</v>
      </c>
      <c r="N671" s="37" t="e">
        <f t="shared" ca="1" si="149"/>
        <v>#N/A</v>
      </c>
      <c r="P671" s="35" t="e">
        <f t="shared" ca="1" si="152"/>
        <v>#N/A</v>
      </c>
      <c r="Q671" s="59" t="e">
        <f t="shared" ca="1" si="150"/>
        <v>#N/A</v>
      </c>
      <c r="R671" s="44" t="e">
        <f t="shared" ca="1" si="146"/>
        <v>#N/A</v>
      </c>
      <c r="S671" s="37" t="e">
        <f ca="1">IF(P671="","",IF(P671="Total",SUM($S$19:S670),VLOOKUP($P671,$B$12:$L735,11,FALSE)))</f>
        <v>#N/A</v>
      </c>
      <c r="T671" s="44" t="e">
        <f ca="1">IF(payfreq="Annually",IF(P671="","",IF(P671="Total",SUM($T$19:T670),Adj_Rate*$R671)),IF(payfreq="Semiannually",IF(P671="","",IF(P671="Total",SUM($T$19:T670),Adj_Rate/2*$R671)),IF(payfreq="Quarterly",IF(P671="","",IF(P671="Total",SUM($T$19:T670),Adj_Rate/4*$R671)),IF(payfreq="Monthly",IF(P671="","",IF(P671="Total",SUM($T$19:T670),Adj_Rate/12*$R671)),""))))</f>
        <v>#N/A</v>
      </c>
      <c r="U671" s="37" t="e">
        <f t="shared" ca="1" si="147"/>
        <v>#N/A</v>
      </c>
      <c r="V671" s="44" t="e">
        <f t="shared" ca="1" si="148"/>
        <v>#N/A</v>
      </c>
    </row>
    <row r="672" spans="2:22">
      <c r="B672" s="38" t="e">
        <f t="shared" ca="1" si="151"/>
        <v>#N/A</v>
      </c>
      <c r="C672" s="77" t="e">
        <f t="shared" ca="1" si="143"/>
        <v>#N/A</v>
      </c>
      <c r="D672" s="78" t="e">
        <f ca="1">+IF(AND(B672&lt;$G$7),VLOOKUP($B$1,Inventory!$A$1:$BC$500,35,FALSE),IF(AND(B672=$G$7,pmt_timing="End"),VLOOKUP($B$1,Inventory!$A$1:$BC$500,35,FALSE),0))</f>
        <v>#N/A</v>
      </c>
      <c r="E672" s="78">
        <v>0</v>
      </c>
      <c r="F672" s="78">
        <v>0</v>
      </c>
      <c r="G672" s="78">
        <v>0</v>
      </c>
      <c r="H672" s="78">
        <v>0</v>
      </c>
      <c r="I672" s="78">
        <v>0</v>
      </c>
      <c r="J672" s="78">
        <v>0</v>
      </c>
      <c r="K672" s="78">
        <v>0</v>
      </c>
      <c r="L672" s="36" t="e">
        <f t="shared" ca="1" si="144"/>
        <v>#N/A</v>
      </c>
      <c r="M672" s="37" t="e">
        <f t="shared" ca="1" si="145"/>
        <v>#N/A</v>
      </c>
      <c r="N672" s="37" t="e">
        <f t="shared" ca="1" si="149"/>
        <v>#N/A</v>
      </c>
      <c r="P672" s="35" t="e">
        <f t="shared" ca="1" si="152"/>
        <v>#N/A</v>
      </c>
      <c r="Q672" s="59" t="e">
        <f t="shared" ca="1" si="150"/>
        <v>#N/A</v>
      </c>
      <c r="R672" s="44" t="e">
        <f t="shared" ca="1" si="146"/>
        <v>#N/A</v>
      </c>
      <c r="S672" s="37" t="e">
        <f ca="1">IF(P672="","",IF(P672="Total",SUM($S$19:S671),VLOOKUP($P672,$B$12:$L736,11,FALSE)))</f>
        <v>#N/A</v>
      </c>
      <c r="T672" s="44" t="e">
        <f ca="1">IF(payfreq="Annually",IF(P672="","",IF(P672="Total",SUM($T$19:T671),Adj_Rate*$R672)),IF(payfreq="Semiannually",IF(P672="","",IF(P672="Total",SUM($T$19:T671),Adj_Rate/2*$R672)),IF(payfreq="Quarterly",IF(P672="","",IF(P672="Total",SUM($T$19:T671),Adj_Rate/4*$R672)),IF(payfreq="Monthly",IF(P672="","",IF(P672="Total",SUM($T$19:T671),Adj_Rate/12*$R672)),""))))</f>
        <v>#N/A</v>
      </c>
      <c r="U672" s="37" t="e">
        <f t="shared" ca="1" si="147"/>
        <v>#N/A</v>
      </c>
      <c r="V672" s="44" t="e">
        <f t="shared" ca="1" si="148"/>
        <v>#N/A</v>
      </c>
    </row>
    <row r="673" spans="2:22">
      <c r="B673" s="38" t="e">
        <f t="shared" ca="1" si="151"/>
        <v>#N/A</v>
      </c>
      <c r="C673" s="77" t="e">
        <f t="shared" ca="1" si="143"/>
        <v>#N/A</v>
      </c>
      <c r="D673" s="78" t="e">
        <f ca="1">+IF(AND(B673&lt;$G$7),VLOOKUP($B$1,Inventory!$A$1:$BC$500,35,FALSE),IF(AND(B673=$G$7,pmt_timing="End"),VLOOKUP($B$1,Inventory!$A$1:$BC$500,35,FALSE),0))</f>
        <v>#N/A</v>
      </c>
      <c r="E673" s="78">
        <v>0</v>
      </c>
      <c r="F673" s="78">
        <v>0</v>
      </c>
      <c r="G673" s="78">
        <v>0</v>
      </c>
      <c r="H673" s="78">
        <v>0</v>
      </c>
      <c r="I673" s="78">
        <v>0</v>
      </c>
      <c r="J673" s="78">
        <v>0</v>
      </c>
      <c r="K673" s="78">
        <v>0</v>
      </c>
      <c r="L673" s="36" t="e">
        <f t="shared" ca="1" si="144"/>
        <v>#N/A</v>
      </c>
      <c r="M673" s="37" t="e">
        <f t="shared" ca="1" si="145"/>
        <v>#N/A</v>
      </c>
      <c r="N673" s="37" t="e">
        <f t="shared" ca="1" si="149"/>
        <v>#N/A</v>
      </c>
      <c r="P673" s="35" t="e">
        <f t="shared" ca="1" si="152"/>
        <v>#N/A</v>
      </c>
      <c r="Q673" s="59" t="e">
        <f t="shared" ca="1" si="150"/>
        <v>#N/A</v>
      </c>
      <c r="R673" s="44" t="e">
        <f t="shared" ca="1" si="146"/>
        <v>#N/A</v>
      </c>
      <c r="S673" s="37" t="e">
        <f ca="1">IF(P673="","",IF(P673="Total",SUM($S$19:S672),VLOOKUP($P673,$B$12:$L737,11,FALSE)))</f>
        <v>#N/A</v>
      </c>
      <c r="T673" s="44" t="e">
        <f ca="1">IF(payfreq="Annually",IF(P673="","",IF(P673="Total",SUM($T$19:T672),Adj_Rate*$R673)),IF(payfreq="Semiannually",IF(P673="","",IF(P673="Total",SUM($T$19:T672),Adj_Rate/2*$R673)),IF(payfreq="Quarterly",IF(P673="","",IF(P673="Total",SUM($T$19:T672),Adj_Rate/4*$R673)),IF(payfreq="Monthly",IF(P673="","",IF(P673="Total",SUM($T$19:T672),Adj_Rate/12*$R673)),""))))</f>
        <v>#N/A</v>
      </c>
      <c r="U673" s="37" t="e">
        <f t="shared" ca="1" si="147"/>
        <v>#N/A</v>
      </c>
      <c r="V673" s="44" t="e">
        <f t="shared" ca="1" si="148"/>
        <v>#N/A</v>
      </c>
    </row>
    <row r="674" spans="2:22">
      <c r="B674" s="38" t="e">
        <f t="shared" ca="1" si="151"/>
        <v>#N/A</v>
      </c>
      <c r="C674" s="77" t="e">
        <f t="shared" ca="1" si="143"/>
        <v>#N/A</v>
      </c>
      <c r="D674" s="78" t="e">
        <f ca="1">+IF(AND(B674&lt;$G$7),VLOOKUP($B$1,Inventory!$A$1:$BC$500,35,FALSE),IF(AND(B674=$G$7,pmt_timing="End"),VLOOKUP($B$1,Inventory!$A$1:$BC$500,35,FALSE),0))</f>
        <v>#N/A</v>
      </c>
      <c r="E674" s="78">
        <v>0</v>
      </c>
      <c r="F674" s="78">
        <v>0</v>
      </c>
      <c r="G674" s="78">
        <v>0</v>
      </c>
      <c r="H674" s="78">
        <v>0</v>
      </c>
      <c r="I674" s="78">
        <v>0</v>
      </c>
      <c r="J674" s="78">
        <v>0</v>
      </c>
      <c r="K674" s="78">
        <v>0</v>
      </c>
      <c r="L674" s="36" t="e">
        <f t="shared" ca="1" si="144"/>
        <v>#N/A</v>
      </c>
      <c r="M674" s="37" t="e">
        <f t="shared" ca="1" si="145"/>
        <v>#N/A</v>
      </c>
      <c r="N674" s="37" t="e">
        <f t="shared" ca="1" si="149"/>
        <v>#N/A</v>
      </c>
      <c r="P674" s="35" t="e">
        <f t="shared" ca="1" si="152"/>
        <v>#N/A</v>
      </c>
      <c r="Q674" s="59" t="e">
        <f t="shared" ca="1" si="150"/>
        <v>#N/A</v>
      </c>
      <c r="R674" s="44" t="e">
        <f t="shared" ca="1" si="146"/>
        <v>#N/A</v>
      </c>
      <c r="S674" s="37" t="e">
        <f ca="1">IF(P674="","",IF(P674="Total",SUM($S$19:S673),VLOOKUP($P674,$B$12:$L738,11,FALSE)))</f>
        <v>#N/A</v>
      </c>
      <c r="T674" s="44" t="e">
        <f ca="1">IF(payfreq="Annually",IF(P674="","",IF(P674="Total",SUM($T$19:T673),Adj_Rate*$R674)),IF(payfreq="Semiannually",IF(P674="","",IF(P674="Total",SUM($T$19:T673),Adj_Rate/2*$R674)),IF(payfreq="Quarterly",IF(P674="","",IF(P674="Total",SUM($T$19:T673),Adj_Rate/4*$R674)),IF(payfreq="Monthly",IF(P674="","",IF(P674="Total",SUM($T$19:T673),Adj_Rate/12*$R674)),""))))</f>
        <v>#N/A</v>
      </c>
      <c r="U674" s="37" t="e">
        <f t="shared" ca="1" si="147"/>
        <v>#N/A</v>
      </c>
      <c r="V674" s="44" t="e">
        <f t="shared" ca="1" si="148"/>
        <v>#N/A</v>
      </c>
    </row>
    <row r="675" spans="2:22">
      <c r="B675" s="38" t="e">
        <f t="shared" ca="1" si="151"/>
        <v>#N/A</v>
      </c>
      <c r="C675" s="77" t="e">
        <f t="shared" ca="1" si="143"/>
        <v>#N/A</v>
      </c>
      <c r="D675" s="78" t="e">
        <f ca="1">+IF(AND(B675&lt;$G$7),VLOOKUP($B$1,Inventory!$A$1:$BC$500,35,FALSE),IF(AND(B675=$G$7,pmt_timing="End"),VLOOKUP($B$1,Inventory!$A$1:$BC$500,35,FALSE),0))</f>
        <v>#N/A</v>
      </c>
      <c r="E675" s="78">
        <v>0</v>
      </c>
      <c r="F675" s="78">
        <v>0</v>
      </c>
      <c r="G675" s="78">
        <v>0</v>
      </c>
      <c r="H675" s="78">
        <v>0</v>
      </c>
      <c r="I675" s="78">
        <v>0</v>
      </c>
      <c r="J675" s="78">
        <v>0</v>
      </c>
      <c r="K675" s="78">
        <v>0</v>
      </c>
      <c r="L675" s="36" t="e">
        <f t="shared" ca="1" si="144"/>
        <v>#N/A</v>
      </c>
      <c r="M675" s="37" t="e">
        <f t="shared" ca="1" si="145"/>
        <v>#N/A</v>
      </c>
      <c r="N675" s="37" t="e">
        <f t="shared" ca="1" si="149"/>
        <v>#N/A</v>
      </c>
      <c r="P675" s="35" t="e">
        <f t="shared" ca="1" si="152"/>
        <v>#N/A</v>
      </c>
      <c r="Q675" s="59" t="e">
        <f t="shared" ca="1" si="150"/>
        <v>#N/A</v>
      </c>
      <c r="R675" s="44" t="e">
        <f t="shared" ca="1" si="146"/>
        <v>#N/A</v>
      </c>
      <c r="S675" s="37" t="e">
        <f ca="1">IF(P675="","",IF(P675="Total",SUM($S$19:S674),VLOOKUP($P675,$B$12:$L739,11,FALSE)))</f>
        <v>#N/A</v>
      </c>
      <c r="T675" s="44" t="e">
        <f ca="1">IF(payfreq="Annually",IF(P675="","",IF(P675="Total",SUM($T$19:T674),Adj_Rate*$R675)),IF(payfreq="Semiannually",IF(P675="","",IF(P675="Total",SUM($T$19:T674),Adj_Rate/2*$R675)),IF(payfreq="Quarterly",IF(P675="","",IF(P675="Total",SUM($T$19:T674),Adj_Rate/4*$R675)),IF(payfreq="Monthly",IF(P675="","",IF(P675="Total",SUM($T$19:T674),Adj_Rate/12*$R675)),""))))</f>
        <v>#N/A</v>
      </c>
      <c r="U675" s="37" t="e">
        <f t="shared" ca="1" si="147"/>
        <v>#N/A</v>
      </c>
      <c r="V675" s="44" t="e">
        <f t="shared" ca="1" si="148"/>
        <v>#N/A</v>
      </c>
    </row>
    <row r="676" spans="2:22">
      <c r="B676" s="38" t="e">
        <f t="shared" ca="1" si="151"/>
        <v>#N/A</v>
      </c>
      <c r="C676" s="77" t="e">
        <f t="shared" ca="1" si="143"/>
        <v>#N/A</v>
      </c>
      <c r="D676" s="78" t="e">
        <f ca="1">+IF(AND(B676&lt;$G$7),VLOOKUP($B$1,Inventory!$A$1:$BC$500,35,FALSE),IF(AND(B676=$G$7,pmt_timing="End"),VLOOKUP($B$1,Inventory!$A$1:$BC$500,35,FALSE),0))</f>
        <v>#N/A</v>
      </c>
      <c r="E676" s="78">
        <v>0</v>
      </c>
      <c r="F676" s="78">
        <v>0</v>
      </c>
      <c r="G676" s="78">
        <v>0</v>
      </c>
      <c r="H676" s="78">
        <v>0</v>
      </c>
      <c r="I676" s="78">
        <v>0</v>
      </c>
      <c r="J676" s="78">
        <v>0</v>
      </c>
      <c r="K676" s="78">
        <v>0</v>
      </c>
      <c r="L676" s="36" t="e">
        <f t="shared" ca="1" si="144"/>
        <v>#N/A</v>
      </c>
      <c r="M676" s="37" t="e">
        <f t="shared" ca="1" si="145"/>
        <v>#N/A</v>
      </c>
      <c r="N676" s="37" t="e">
        <f t="shared" ca="1" si="149"/>
        <v>#N/A</v>
      </c>
      <c r="P676" s="35" t="e">
        <f t="shared" ca="1" si="152"/>
        <v>#N/A</v>
      </c>
      <c r="Q676" s="59" t="e">
        <f t="shared" ca="1" si="150"/>
        <v>#N/A</v>
      </c>
      <c r="R676" s="44" t="e">
        <f t="shared" ca="1" si="146"/>
        <v>#N/A</v>
      </c>
      <c r="S676" s="37" t="e">
        <f ca="1">IF(P676="","",IF(P676="Total",SUM($S$19:S675),VLOOKUP($P676,$B$12:$L740,11,FALSE)))</f>
        <v>#N/A</v>
      </c>
      <c r="T676" s="44" t="e">
        <f ca="1">IF(payfreq="Annually",IF(P676="","",IF(P676="Total",SUM($T$19:T675),Adj_Rate*$R676)),IF(payfreq="Semiannually",IF(P676="","",IF(P676="Total",SUM($T$19:T675),Adj_Rate/2*$R676)),IF(payfreq="Quarterly",IF(P676="","",IF(P676="Total",SUM($T$19:T675),Adj_Rate/4*$R676)),IF(payfreq="Monthly",IF(P676="","",IF(P676="Total",SUM($T$19:T675),Adj_Rate/12*$R676)),""))))</f>
        <v>#N/A</v>
      </c>
      <c r="U676" s="37" t="e">
        <f t="shared" ca="1" si="147"/>
        <v>#N/A</v>
      </c>
      <c r="V676" s="44" t="e">
        <f t="shared" ca="1" si="148"/>
        <v>#N/A</v>
      </c>
    </row>
    <row r="677" spans="2:22">
      <c r="B677" s="38" t="e">
        <f t="shared" ca="1" si="151"/>
        <v>#N/A</v>
      </c>
      <c r="C677" s="77" t="e">
        <f t="shared" ca="1" si="143"/>
        <v>#N/A</v>
      </c>
      <c r="D677" s="78" t="e">
        <f ca="1">+IF(AND(B677&lt;$G$7),VLOOKUP($B$1,Inventory!$A$1:$BC$500,35,FALSE),IF(AND(B677=$G$7,pmt_timing="End"),VLOOKUP($B$1,Inventory!$A$1:$BC$500,35,FALSE),0))</f>
        <v>#N/A</v>
      </c>
      <c r="E677" s="78">
        <v>0</v>
      </c>
      <c r="F677" s="78">
        <v>0</v>
      </c>
      <c r="G677" s="78">
        <v>0</v>
      </c>
      <c r="H677" s="78">
        <v>0</v>
      </c>
      <c r="I677" s="78">
        <v>0</v>
      </c>
      <c r="J677" s="78">
        <v>0</v>
      </c>
      <c r="K677" s="78">
        <v>0</v>
      </c>
      <c r="L677" s="36" t="e">
        <f t="shared" ca="1" si="144"/>
        <v>#N/A</v>
      </c>
      <c r="M677" s="37" t="e">
        <f t="shared" ca="1" si="145"/>
        <v>#N/A</v>
      </c>
      <c r="N677" s="37" t="e">
        <f t="shared" ca="1" si="149"/>
        <v>#N/A</v>
      </c>
      <c r="P677" s="35" t="e">
        <f t="shared" ca="1" si="152"/>
        <v>#N/A</v>
      </c>
      <c r="Q677" s="59" t="e">
        <f t="shared" ca="1" si="150"/>
        <v>#N/A</v>
      </c>
      <c r="R677" s="44" t="e">
        <f t="shared" ca="1" si="146"/>
        <v>#N/A</v>
      </c>
      <c r="S677" s="37" t="e">
        <f ca="1">IF(P677="","",IF(P677="Total",SUM($S$19:S676),VLOOKUP($P677,$B$12:$L741,11,FALSE)))</f>
        <v>#N/A</v>
      </c>
      <c r="T677" s="44" t="e">
        <f ca="1">IF(payfreq="Annually",IF(P677="","",IF(P677="Total",SUM($T$19:T676),Adj_Rate*$R677)),IF(payfreq="Semiannually",IF(P677="","",IF(P677="Total",SUM($T$19:T676),Adj_Rate/2*$R677)),IF(payfreq="Quarterly",IF(P677="","",IF(P677="Total",SUM($T$19:T676),Adj_Rate/4*$R677)),IF(payfreq="Monthly",IF(P677="","",IF(P677="Total",SUM($T$19:T676),Adj_Rate/12*$R677)),""))))</f>
        <v>#N/A</v>
      </c>
      <c r="U677" s="37" t="e">
        <f t="shared" ca="1" si="147"/>
        <v>#N/A</v>
      </c>
      <c r="V677" s="44" t="e">
        <f t="shared" ca="1" si="148"/>
        <v>#N/A</v>
      </c>
    </row>
    <row r="678" spans="2:22">
      <c r="B678" s="38" t="e">
        <f t="shared" ca="1" si="151"/>
        <v>#N/A</v>
      </c>
      <c r="C678" s="77" t="e">
        <f t="shared" ca="1" si="143"/>
        <v>#N/A</v>
      </c>
      <c r="D678" s="78" t="e">
        <f ca="1">+IF(AND(B678&lt;$G$7),VLOOKUP($B$1,Inventory!$A$1:$BC$500,35,FALSE),IF(AND(B678=$G$7,pmt_timing="End"),VLOOKUP($B$1,Inventory!$A$1:$BC$500,35,FALSE),0))</f>
        <v>#N/A</v>
      </c>
      <c r="E678" s="78">
        <v>0</v>
      </c>
      <c r="F678" s="78">
        <v>0</v>
      </c>
      <c r="G678" s="78">
        <v>0</v>
      </c>
      <c r="H678" s="78">
        <v>0</v>
      </c>
      <c r="I678" s="78">
        <v>0</v>
      </c>
      <c r="J678" s="78">
        <v>0</v>
      </c>
      <c r="K678" s="78">
        <v>0</v>
      </c>
      <c r="L678" s="36" t="e">
        <f t="shared" ca="1" si="144"/>
        <v>#N/A</v>
      </c>
      <c r="M678" s="37" t="e">
        <f t="shared" ca="1" si="145"/>
        <v>#N/A</v>
      </c>
      <c r="N678" s="37" t="e">
        <f t="shared" ca="1" si="149"/>
        <v>#N/A</v>
      </c>
      <c r="P678" s="35" t="e">
        <f t="shared" ca="1" si="152"/>
        <v>#N/A</v>
      </c>
      <c r="Q678" s="59" t="e">
        <f t="shared" ca="1" si="150"/>
        <v>#N/A</v>
      </c>
      <c r="R678" s="44" t="e">
        <f t="shared" ca="1" si="146"/>
        <v>#N/A</v>
      </c>
      <c r="S678" s="37" t="e">
        <f ca="1">IF(P678="","",IF(P678="Total",SUM($S$19:S677),VLOOKUP($P678,$B$12:$L742,11,FALSE)))</f>
        <v>#N/A</v>
      </c>
      <c r="T678" s="44" t="e">
        <f ca="1">IF(payfreq="Annually",IF(P678="","",IF(P678="Total",SUM($T$19:T677),Adj_Rate*$R678)),IF(payfreq="Semiannually",IF(P678="","",IF(P678="Total",SUM($T$19:T677),Adj_Rate/2*$R678)),IF(payfreq="Quarterly",IF(P678="","",IF(P678="Total",SUM($T$19:T677),Adj_Rate/4*$R678)),IF(payfreq="Monthly",IF(P678="","",IF(P678="Total",SUM($T$19:T677),Adj_Rate/12*$R678)),""))))</f>
        <v>#N/A</v>
      </c>
      <c r="U678" s="37" t="e">
        <f t="shared" ca="1" si="147"/>
        <v>#N/A</v>
      </c>
      <c r="V678" s="44" t="e">
        <f t="shared" ca="1" si="148"/>
        <v>#N/A</v>
      </c>
    </row>
    <row r="679" spans="2:22">
      <c r="B679" s="38" t="e">
        <f t="shared" ca="1" si="151"/>
        <v>#N/A</v>
      </c>
      <c r="C679" s="77" t="e">
        <f t="shared" ca="1" si="143"/>
        <v>#N/A</v>
      </c>
      <c r="D679" s="78" t="e">
        <f ca="1">+IF(AND(B679&lt;$G$7),VLOOKUP($B$1,Inventory!$A$1:$BC$500,35,FALSE),IF(AND(B679=$G$7,pmt_timing="End"),VLOOKUP($B$1,Inventory!$A$1:$BC$500,35,FALSE),0))</f>
        <v>#N/A</v>
      </c>
      <c r="E679" s="78">
        <v>0</v>
      </c>
      <c r="F679" s="78">
        <v>0</v>
      </c>
      <c r="G679" s="78">
        <v>0</v>
      </c>
      <c r="H679" s="78">
        <v>0</v>
      </c>
      <c r="I679" s="78">
        <v>0</v>
      </c>
      <c r="J679" s="78">
        <v>0</v>
      </c>
      <c r="K679" s="78">
        <v>0</v>
      </c>
      <c r="L679" s="36" t="e">
        <f t="shared" ca="1" si="144"/>
        <v>#N/A</v>
      </c>
      <c r="M679" s="37" t="e">
        <f t="shared" ca="1" si="145"/>
        <v>#N/A</v>
      </c>
      <c r="N679" s="37" t="e">
        <f t="shared" ca="1" si="149"/>
        <v>#N/A</v>
      </c>
      <c r="P679" s="35" t="e">
        <f t="shared" ca="1" si="152"/>
        <v>#N/A</v>
      </c>
      <c r="Q679" s="59" t="e">
        <f t="shared" ca="1" si="150"/>
        <v>#N/A</v>
      </c>
      <c r="R679" s="44" t="e">
        <f t="shared" ca="1" si="146"/>
        <v>#N/A</v>
      </c>
      <c r="S679" s="37" t="e">
        <f ca="1">IF(P679="","",IF(P679="Total",SUM($S$19:S678),VLOOKUP($P679,$B$12:$L743,11,FALSE)))</f>
        <v>#N/A</v>
      </c>
      <c r="T679" s="44" t="e">
        <f ca="1">IF(payfreq="Annually",IF(P679="","",IF(P679="Total",SUM($T$19:T678),Adj_Rate*$R679)),IF(payfreq="Semiannually",IF(P679="","",IF(P679="Total",SUM($T$19:T678),Adj_Rate/2*$R679)),IF(payfreq="Quarterly",IF(P679="","",IF(P679="Total",SUM($T$19:T678),Adj_Rate/4*$R679)),IF(payfreq="Monthly",IF(P679="","",IF(P679="Total",SUM($T$19:T678),Adj_Rate/12*$R679)),""))))</f>
        <v>#N/A</v>
      </c>
      <c r="U679" s="37" t="e">
        <f t="shared" ca="1" si="147"/>
        <v>#N/A</v>
      </c>
      <c r="V679" s="44" t="e">
        <f t="shared" ca="1" si="148"/>
        <v>#N/A</v>
      </c>
    </row>
    <row r="680" spans="2:22">
      <c r="B680" s="38" t="e">
        <f t="shared" ca="1" si="151"/>
        <v>#N/A</v>
      </c>
      <c r="C680" s="77" t="e">
        <f t="shared" ca="1" si="143"/>
        <v>#N/A</v>
      </c>
      <c r="D680" s="78" t="e">
        <f ca="1">+IF(AND(B680&lt;$G$7),VLOOKUP($B$1,Inventory!$A$1:$BC$500,35,FALSE),IF(AND(B680=$G$7,pmt_timing="End"),VLOOKUP($B$1,Inventory!$A$1:$BC$500,35,FALSE),0))</f>
        <v>#N/A</v>
      </c>
      <c r="E680" s="78">
        <v>0</v>
      </c>
      <c r="F680" s="78">
        <v>0</v>
      </c>
      <c r="G680" s="78">
        <v>0</v>
      </c>
      <c r="H680" s="78">
        <v>0</v>
      </c>
      <c r="I680" s="78">
        <v>0</v>
      </c>
      <c r="J680" s="78">
        <v>0</v>
      </c>
      <c r="K680" s="78">
        <v>0</v>
      </c>
      <c r="L680" s="36" t="e">
        <f t="shared" ca="1" si="144"/>
        <v>#N/A</v>
      </c>
      <c r="M680" s="37" t="e">
        <f t="shared" ca="1" si="145"/>
        <v>#N/A</v>
      </c>
      <c r="N680" s="37" t="e">
        <f t="shared" ca="1" si="149"/>
        <v>#N/A</v>
      </c>
      <c r="P680" s="35" t="e">
        <f t="shared" ca="1" si="152"/>
        <v>#N/A</v>
      </c>
      <c r="Q680" s="59" t="e">
        <f t="shared" ca="1" si="150"/>
        <v>#N/A</v>
      </c>
      <c r="R680" s="44" t="e">
        <f t="shared" ca="1" si="146"/>
        <v>#N/A</v>
      </c>
      <c r="S680" s="37" t="e">
        <f ca="1">IF(P680="","",IF(P680="Total",SUM($S$19:S679),VLOOKUP($P680,$B$12:$L744,11,FALSE)))</f>
        <v>#N/A</v>
      </c>
      <c r="T680" s="44" t="e">
        <f ca="1">IF(payfreq="Annually",IF(P680="","",IF(P680="Total",SUM($T$19:T679),Adj_Rate*$R680)),IF(payfreq="Semiannually",IF(P680="","",IF(P680="Total",SUM($T$19:T679),Adj_Rate/2*$R680)),IF(payfreq="Quarterly",IF(P680="","",IF(P680="Total",SUM($T$19:T679),Adj_Rate/4*$R680)),IF(payfreq="Monthly",IF(P680="","",IF(P680="Total",SUM($T$19:T679),Adj_Rate/12*$R680)),""))))</f>
        <v>#N/A</v>
      </c>
      <c r="U680" s="37" t="e">
        <f t="shared" ca="1" si="147"/>
        <v>#N/A</v>
      </c>
      <c r="V680" s="44" t="e">
        <f t="shared" ca="1" si="148"/>
        <v>#N/A</v>
      </c>
    </row>
    <row r="681" spans="2:22">
      <c r="B681" s="38" t="e">
        <f t="shared" ca="1" si="151"/>
        <v>#N/A</v>
      </c>
      <c r="C681" s="77" t="e">
        <f t="shared" ca="1" si="143"/>
        <v>#N/A</v>
      </c>
      <c r="D681" s="78" t="e">
        <f ca="1">+IF(AND(B681&lt;$G$7),VLOOKUP($B$1,Inventory!$A$1:$BC$500,35,FALSE),IF(AND(B681=$G$7,pmt_timing="End"),VLOOKUP($B$1,Inventory!$A$1:$BC$500,35,FALSE),0))</f>
        <v>#N/A</v>
      </c>
      <c r="E681" s="78">
        <v>0</v>
      </c>
      <c r="F681" s="78">
        <v>0</v>
      </c>
      <c r="G681" s="78">
        <v>0</v>
      </c>
      <c r="H681" s="78">
        <v>0</v>
      </c>
      <c r="I681" s="78">
        <v>0</v>
      </c>
      <c r="J681" s="78">
        <v>0</v>
      </c>
      <c r="K681" s="78">
        <v>0</v>
      </c>
      <c r="L681" s="36" t="e">
        <f t="shared" ca="1" si="144"/>
        <v>#N/A</v>
      </c>
      <c r="M681" s="37" t="e">
        <f t="shared" ca="1" si="145"/>
        <v>#N/A</v>
      </c>
      <c r="N681" s="37" t="e">
        <f t="shared" ca="1" si="149"/>
        <v>#N/A</v>
      </c>
      <c r="P681" s="35" t="e">
        <f t="shared" ca="1" si="152"/>
        <v>#N/A</v>
      </c>
      <c r="Q681" s="59" t="e">
        <f t="shared" ca="1" si="150"/>
        <v>#N/A</v>
      </c>
      <c r="R681" s="44" t="e">
        <f t="shared" ca="1" si="146"/>
        <v>#N/A</v>
      </c>
      <c r="S681" s="37" t="e">
        <f ca="1">IF(P681="","",IF(P681="Total",SUM($S$19:S680),VLOOKUP($P681,$B$12:$L745,11,FALSE)))</f>
        <v>#N/A</v>
      </c>
      <c r="T681" s="44" t="e">
        <f ca="1">IF(payfreq="Annually",IF(P681="","",IF(P681="Total",SUM($T$19:T680),Adj_Rate*$R681)),IF(payfreq="Semiannually",IF(P681="","",IF(P681="Total",SUM($T$19:T680),Adj_Rate/2*$R681)),IF(payfreq="Quarterly",IF(P681="","",IF(P681="Total",SUM($T$19:T680),Adj_Rate/4*$R681)),IF(payfreq="Monthly",IF(P681="","",IF(P681="Total",SUM($T$19:T680),Adj_Rate/12*$R681)),""))))</f>
        <v>#N/A</v>
      </c>
      <c r="U681" s="37" t="e">
        <f t="shared" ca="1" si="147"/>
        <v>#N/A</v>
      </c>
      <c r="V681" s="44" t="e">
        <f t="shared" ca="1" si="148"/>
        <v>#N/A</v>
      </c>
    </row>
    <row r="682" spans="2:22">
      <c r="B682" s="38" t="e">
        <f t="shared" ca="1" si="151"/>
        <v>#N/A</v>
      </c>
      <c r="C682" s="77" t="e">
        <f t="shared" ca="1" si="143"/>
        <v>#N/A</v>
      </c>
      <c r="D682" s="78" t="e">
        <f ca="1">+IF(AND(B682&lt;$G$7),VLOOKUP($B$1,Inventory!$A$1:$BC$500,35,FALSE),IF(AND(B682=$G$7,pmt_timing="End"),VLOOKUP($B$1,Inventory!$A$1:$BC$500,35,FALSE),0))</f>
        <v>#N/A</v>
      </c>
      <c r="E682" s="78">
        <v>0</v>
      </c>
      <c r="F682" s="78">
        <v>0</v>
      </c>
      <c r="G682" s="78">
        <v>0</v>
      </c>
      <c r="H682" s="78">
        <v>0</v>
      </c>
      <c r="I682" s="78">
        <v>0</v>
      </c>
      <c r="J682" s="78">
        <v>0</v>
      </c>
      <c r="K682" s="78">
        <v>0</v>
      </c>
      <c r="L682" s="36" t="e">
        <f t="shared" ca="1" si="144"/>
        <v>#N/A</v>
      </c>
      <c r="M682" s="37" t="e">
        <f t="shared" ca="1" si="145"/>
        <v>#N/A</v>
      </c>
      <c r="N682" s="37" t="e">
        <f t="shared" ca="1" si="149"/>
        <v>#N/A</v>
      </c>
      <c r="P682" s="35" t="e">
        <f t="shared" ca="1" si="152"/>
        <v>#N/A</v>
      </c>
      <c r="Q682" s="59" t="e">
        <f t="shared" ca="1" si="150"/>
        <v>#N/A</v>
      </c>
      <c r="R682" s="44" t="e">
        <f t="shared" ca="1" si="146"/>
        <v>#N/A</v>
      </c>
      <c r="S682" s="37" t="e">
        <f ca="1">IF(P682="","",IF(P682="Total",SUM($S$19:S681),VLOOKUP($P682,$B$12:$L746,11,FALSE)))</f>
        <v>#N/A</v>
      </c>
      <c r="T682" s="44" t="e">
        <f ca="1">IF(payfreq="Annually",IF(P682="","",IF(P682="Total",SUM($T$19:T681),Adj_Rate*$R682)),IF(payfreq="Semiannually",IF(P682="","",IF(P682="Total",SUM($T$19:T681),Adj_Rate/2*$R682)),IF(payfreq="Quarterly",IF(P682="","",IF(P682="Total",SUM($T$19:T681),Adj_Rate/4*$R682)),IF(payfreq="Monthly",IF(P682="","",IF(P682="Total",SUM($T$19:T681),Adj_Rate/12*$R682)),""))))</f>
        <v>#N/A</v>
      </c>
      <c r="U682" s="37" t="e">
        <f t="shared" ca="1" si="147"/>
        <v>#N/A</v>
      </c>
      <c r="V682" s="44" t="e">
        <f t="shared" ca="1" si="148"/>
        <v>#N/A</v>
      </c>
    </row>
    <row r="683" spans="2:22">
      <c r="B683" s="38" t="e">
        <f t="shared" ca="1" si="151"/>
        <v>#N/A</v>
      </c>
      <c r="C683" s="77" t="e">
        <f t="shared" ca="1" si="143"/>
        <v>#N/A</v>
      </c>
      <c r="D683" s="78" t="e">
        <f ca="1">+IF(AND(B683&lt;$G$7),VLOOKUP($B$1,Inventory!$A$1:$BC$500,35,FALSE),IF(AND(B683=$G$7,pmt_timing="End"),VLOOKUP($B$1,Inventory!$A$1:$BC$500,35,FALSE),0))</f>
        <v>#N/A</v>
      </c>
      <c r="E683" s="78">
        <v>0</v>
      </c>
      <c r="F683" s="78">
        <v>0</v>
      </c>
      <c r="G683" s="78">
        <v>0</v>
      </c>
      <c r="H683" s="78">
        <v>0</v>
      </c>
      <c r="I683" s="78">
        <v>0</v>
      </c>
      <c r="J683" s="78">
        <v>0</v>
      </c>
      <c r="K683" s="78">
        <v>0</v>
      </c>
      <c r="L683" s="36" t="e">
        <f t="shared" ca="1" si="144"/>
        <v>#N/A</v>
      </c>
      <c r="M683" s="37" t="e">
        <f t="shared" ca="1" si="145"/>
        <v>#N/A</v>
      </c>
      <c r="N683" s="37" t="e">
        <f t="shared" ca="1" si="149"/>
        <v>#N/A</v>
      </c>
      <c r="P683" s="35" t="e">
        <f t="shared" ca="1" si="152"/>
        <v>#N/A</v>
      </c>
      <c r="Q683" s="59" t="e">
        <f t="shared" ca="1" si="150"/>
        <v>#N/A</v>
      </c>
      <c r="R683" s="44" t="e">
        <f t="shared" ca="1" si="146"/>
        <v>#N/A</v>
      </c>
      <c r="S683" s="37" t="e">
        <f ca="1">IF(P683="","",IF(P683="Total",SUM($S$19:S682),VLOOKUP($P683,$B$12:$L747,11,FALSE)))</f>
        <v>#N/A</v>
      </c>
      <c r="T683" s="44" t="e">
        <f ca="1">IF(payfreq="Annually",IF(P683="","",IF(P683="Total",SUM($T$19:T682),Adj_Rate*$R683)),IF(payfreq="Semiannually",IF(P683="","",IF(P683="Total",SUM($T$19:T682),Adj_Rate/2*$R683)),IF(payfreq="Quarterly",IF(P683="","",IF(P683="Total",SUM($T$19:T682),Adj_Rate/4*$R683)),IF(payfreq="Monthly",IF(P683="","",IF(P683="Total",SUM($T$19:T682),Adj_Rate/12*$R683)),""))))</f>
        <v>#N/A</v>
      </c>
      <c r="U683" s="37" t="e">
        <f t="shared" ca="1" si="147"/>
        <v>#N/A</v>
      </c>
      <c r="V683" s="44" t="e">
        <f t="shared" ca="1" si="148"/>
        <v>#N/A</v>
      </c>
    </row>
    <row r="684" spans="2:22">
      <c r="B684" s="38" t="e">
        <f t="shared" ca="1" si="151"/>
        <v>#N/A</v>
      </c>
      <c r="C684" s="77" t="e">
        <f t="shared" ca="1" si="143"/>
        <v>#N/A</v>
      </c>
      <c r="D684" s="78" t="e">
        <f ca="1">+IF(AND(B684&lt;$G$7),VLOOKUP($B$1,Inventory!$A$1:$BC$500,35,FALSE),IF(AND(B684=$G$7,pmt_timing="End"),VLOOKUP($B$1,Inventory!$A$1:$BC$500,35,FALSE),0))</f>
        <v>#N/A</v>
      </c>
      <c r="E684" s="78">
        <v>0</v>
      </c>
      <c r="F684" s="78">
        <v>0</v>
      </c>
      <c r="G684" s="78">
        <v>0</v>
      </c>
      <c r="H684" s="78">
        <v>0</v>
      </c>
      <c r="I684" s="78">
        <v>0</v>
      </c>
      <c r="J684" s="78">
        <v>0</v>
      </c>
      <c r="K684" s="78">
        <v>0</v>
      </c>
      <c r="L684" s="36" t="e">
        <f t="shared" ca="1" si="144"/>
        <v>#N/A</v>
      </c>
      <c r="M684" s="37" t="e">
        <f t="shared" ca="1" si="145"/>
        <v>#N/A</v>
      </c>
      <c r="N684" s="37" t="e">
        <f t="shared" ca="1" si="149"/>
        <v>#N/A</v>
      </c>
      <c r="P684" s="35" t="e">
        <f t="shared" ca="1" si="152"/>
        <v>#N/A</v>
      </c>
      <c r="Q684" s="59" t="e">
        <f t="shared" ca="1" si="150"/>
        <v>#N/A</v>
      </c>
      <c r="R684" s="44" t="e">
        <f t="shared" ca="1" si="146"/>
        <v>#N/A</v>
      </c>
      <c r="S684" s="37" t="e">
        <f ca="1">IF(P684="","",IF(P684="Total",SUM($S$19:S683),VLOOKUP($P684,$B$12:$L748,11,FALSE)))</f>
        <v>#N/A</v>
      </c>
      <c r="T684" s="44" t="e">
        <f ca="1">IF(payfreq="Annually",IF(P684="","",IF(P684="Total",SUM($T$19:T683),Adj_Rate*$R684)),IF(payfreq="Semiannually",IF(P684="","",IF(P684="Total",SUM($T$19:T683),Adj_Rate/2*$R684)),IF(payfreq="Quarterly",IF(P684="","",IF(P684="Total",SUM($T$19:T683),Adj_Rate/4*$R684)),IF(payfreq="Monthly",IF(P684="","",IF(P684="Total",SUM($T$19:T683),Adj_Rate/12*$R684)),""))))</f>
        <v>#N/A</v>
      </c>
      <c r="U684" s="37" t="e">
        <f t="shared" ca="1" si="147"/>
        <v>#N/A</v>
      </c>
      <c r="V684" s="44" t="e">
        <f t="shared" ca="1" si="148"/>
        <v>#N/A</v>
      </c>
    </row>
    <row r="685" spans="2:22">
      <c r="B685" s="38" t="e">
        <f t="shared" ca="1" si="151"/>
        <v>#N/A</v>
      </c>
      <c r="C685" s="77" t="e">
        <f t="shared" ref="C685:C748" ca="1" si="153">IF(Q685 &lt;&gt; "",Q685, "")</f>
        <v>#N/A</v>
      </c>
      <c r="D685" s="78" t="e">
        <f ca="1">+IF(AND(B685&lt;$G$7),VLOOKUP($B$1,Inventory!$A$1:$BC$500,35,FALSE),IF(AND(B685=$G$7,pmt_timing="End"),VLOOKUP($B$1,Inventory!$A$1:$BC$500,35,FALSE),0))</f>
        <v>#N/A</v>
      </c>
      <c r="E685" s="78">
        <v>0</v>
      </c>
      <c r="F685" s="78">
        <v>0</v>
      </c>
      <c r="G685" s="78">
        <v>0</v>
      </c>
      <c r="H685" s="78">
        <v>0</v>
      </c>
      <c r="I685" s="78">
        <v>0</v>
      </c>
      <c r="J685" s="78">
        <v>0</v>
      </c>
      <c r="K685" s="78">
        <v>0</v>
      </c>
      <c r="L685" s="36" t="e">
        <f t="shared" ref="L685:L748" ca="1" si="154">SUM(D685:K685)</f>
        <v>#N/A</v>
      </c>
      <c r="M685" s="37" t="e">
        <f t="shared" ref="M685:M748" ca="1" si="155">IF(pmt_timing="End",IF($B685&gt;term, "",$L685/(1+Adj_Rate/12)^B685),"")</f>
        <v>#N/A</v>
      </c>
      <c r="N685" s="37" t="e">
        <f t="shared" ca="1" si="149"/>
        <v>#N/A</v>
      </c>
      <c r="P685" s="35" t="e">
        <f t="shared" ca="1" si="152"/>
        <v>#N/A</v>
      </c>
      <c r="Q685" s="59" t="e">
        <f t="shared" ca="1" si="150"/>
        <v>#N/A</v>
      </c>
      <c r="R685" s="44" t="e">
        <f t="shared" ref="R685:R748" ca="1" si="156">IF(OR(P685="",P685="Total"),"",V684)</f>
        <v>#N/A</v>
      </c>
      <c r="S685" s="37" t="e">
        <f ca="1">IF(P685="","",IF(P685="Total",SUM($S$19:S684),VLOOKUP($P685,$B$12:$L749,11,FALSE)))</f>
        <v>#N/A</v>
      </c>
      <c r="T685" s="44" t="e">
        <f ca="1">IF(payfreq="Annually",IF(P685="","",IF(P685="Total",SUM($T$19:T684),Adj_Rate*$R685)),IF(payfreq="Semiannually",IF(P685="","",IF(P685="Total",SUM($T$19:T684),Adj_Rate/2*$R685)),IF(payfreq="Quarterly",IF(P685="","",IF(P685="Total",SUM($T$19:T684),Adj_Rate/4*$R685)),IF(payfreq="Monthly",IF(P685="","",IF(P685="Total",SUM($T$19:T684),Adj_Rate/12*$R685)),""))))</f>
        <v>#N/A</v>
      </c>
      <c r="U685" s="37" t="e">
        <f t="shared" ref="U685:U748" ca="1" si="157">+IF(S685="","",S685-T685)</f>
        <v>#N/A</v>
      </c>
      <c r="V685" s="44" t="e">
        <f t="shared" ref="V685:V748" ca="1" si="158">IF(OR(P685="",P685="Total"),"",R685+T685-S685)</f>
        <v>#N/A</v>
      </c>
    </row>
    <row r="686" spans="2:22">
      <c r="B686" s="38" t="e">
        <f t="shared" ca="1" si="151"/>
        <v>#N/A</v>
      </c>
      <c r="C686" s="77" t="e">
        <f t="shared" ca="1" si="153"/>
        <v>#N/A</v>
      </c>
      <c r="D686" s="78" t="e">
        <f ca="1">+IF(AND(B686&lt;$G$7),VLOOKUP($B$1,Inventory!$A$1:$BC$500,35,FALSE),IF(AND(B686=$G$7,pmt_timing="End"),VLOOKUP($B$1,Inventory!$A$1:$BC$500,35,FALSE),0))</f>
        <v>#N/A</v>
      </c>
      <c r="E686" s="78">
        <v>0</v>
      </c>
      <c r="F686" s="78">
        <v>0</v>
      </c>
      <c r="G686" s="78">
        <v>0</v>
      </c>
      <c r="H686" s="78">
        <v>0</v>
      </c>
      <c r="I686" s="78">
        <v>0</v>
      </c>
      <c r="J686" s="78">
        <v>0</v>
      </c>
      <c r="K686" s="78">
        <v>0</v>
      </c>
      <c r="L686" s="36" t="e">
        <f t="shared" ca="1" si="154"/>
        <v>#N/A</v>
      </c>
      <c r="M686" s="37" t="e">
        <f t="shared" ca="1" si="155"/>
        <v>#N/A</v>
      </c>
      <c r="N686" s="37" t="e">
        <f t="shared" ca="1" si="149"/>
        <v>#N/A</v>
      </c>
      <c r="P686" s="35" t="e">
        <f t="shared" ca="1" si="152"/>
        <v>#N/A</v>
      </c>
      <c r="Q686" s="59" t="e">
        <f t="shared" ca="1" si="150"/>
        <v>#N/A</v>
      </c>
      <c r="R686" s="44" t="e">
        <f t="shared" ca="1" si="156"/>
        <v>#N/A</v>
      </c>
      <c r="S686" s="37" t="e">
        <f ca="1">IF(P686="","",IF(P686="Total",SUM($S$19:S685),VLOOKUP($P686,$B$12:$L750,11,FALSE)))</f>
        <v>#N/A</v>
      </c>
      <c r="T686" s="44" t="e">
        <f ca="1">IF(payfreq="Annually",IF(P686="","",IF(P686="Total",SUM($T$19:T685),Adj_Rate*$R686)),IF(payfreq="Semiannually",IF(P686="","",IF(P686="Total",SUM($T$19:T685),Adj_Rate/2*$R686)),IF(payfreq="Quarterly",IF(P686="","",IF(P686="Total",SUM($T$19:T685),Adj_Rate/4*$R686)),IF(payfreq="Monthly",IF(P686="","",IF(P686="Total",SUM($T$19:T685),Adj_Rate/12*$R686)),""))))</f>
        <v>#N/A</v>
      </c>
      <c r="U686" s="37" t="e">
        <f t="shared" ca="1" si="157"/>
        <v>#N/A</v>
      </c>
      <c r="V686" s="44" t="e">
        <f t="shared" ca="1" si="158"/>
        <v>#N/A</v>
      </c>
    </row>
    <row r="687" spans="2:22">
      <c r="B687" s="38" t="e">
        <f t="shared" ca="1" si="151"/>
        <v>#N/A</v>
      </c>
      <c r="C687" s="77" t="e">
        <f t="shared" ca="1" si="153"/>
        <v>#N/A</v>
      </c>
      <c r="D687" s="78" t="e">
        <f ca="1">+IF(AND(B687&lt;$G$7),VLOOKUP($B$1,Inventory!$A$1:$BC$500,35,FALSE),IF(AND(B687=$G$7,pmt_timing="End"),VLOOKUP($B$1,Inventory!$A$1:$BC$500,35,FALSE),0))</f>
        <v>#N/A</v>
      </c>
      <c r="E687" s="78">
        <v>0</v>
      </c>
      <c r="F687" s="78">
        <v>0</v>
      </c>
      <c r="G687" s="78">
        <v>0</v>
      </c>
      <c r="H687" s="78">
        <v>0</v>
      </c>
      <c r="I687" s="78">
        <v>0</v>
      </c>
      <c r="J687" s="78">
        <v>0</v>
      </c>
      <c r="K687" s="78">
        <v>0</v>
      </c>
      <c r="L687" s="36" t="e">
        <f t="shared" ca="1" si="154"/>
        <v>#N/A</v>
      </c>
      <c r="M687" s="37" t="e">
        <f t="shared" ca="1" si="155"/>
        <v>#N/A</v>
      </c>
      <c r="N687" s="37" t="e">
        <f t="shared" ca="1" si="149"/>
        <v>#N/A</v>
      </c>
      <c r="P687" s="35" t="e">
        <f t="shared" ca="1" si="152"/>
        <v>#N/A</v>
      </c>
      <c r="Q687" s="59" t="e">
        <f t="shared" ca="1" si="150"/>
        <v>#N/A</v>
      </c>
      <c r="R687" s="44" t="e">
        <f t="shared" ca="1" si="156"/>
        <v>#N/A</v>
      </c>
      <c r="S687" s="37" t="e">
        <f ca="1">IF(P687="","",IF(P687="Total",SUM($S$19:S686),VLOOKUP($P687,$B$12:$L751,11,FALSE)))</f>
        <v>#N/A</v>
      </c>
      <c r="T687" s="44" t="e">
        <f ca="1">IF(payfreq="Annually",IF(P687="","",IF(P687="Total",SUM($T$19:T686),Adj_Rate*$R687)),IF(payfreq="Semiannually",IF(P687="","",IF(P687="Total",SUM($T$19:T686),Adj_Rate/2*$R687)),IF(payfreq="Quarterly",IF(P687="","",IF(P687="Total",SUM($T$19:T686),Adj_Rate/4*$R687)),IF(payfreq="Monthly",IF(P687="","",IF(P687="Total",SUM($T$19:T686),Adj_Rate/12*$R687)),""))))</f>
        <v>#N/A</v>
      </c>
      <c r="U687" s="37" t="e">
        <f t="shared" ca="1" si="157"/>
        <v>#N/A</v>
      </c>
      <c r="V687" s="44" t="e">
        <f t="shared" ca="1" si="158"/>
        <v>#N/A</v>
      </c>
    </row>
    <row r="688" spans="2:22">
      <c r="B688" s="38" t="e">
        <f t="shared" ca="1" si="151"/>
        <v>#N/A</v>
      </c>
      <c r="C688" s="77" t="e">
        <f t="shared" ca="1" si="153"/>
        <v>#N/A</v>
      </c>
      <c r="D688" s="78" t="e">
        <f ca="1">+IF(AND(B688&lt;$G$7),VLOOKUP($B$1,Inventory!$A$1:$BC$500,35,FALSE),IF(AND(B688=$G$7,pmt_timing="End"),VLOOKUP($B$1,Inventory!$A$1:$BC$500,35,FALSE),0))</f>
        <v>#N/A</v>
      </c>
      <c r="E688" s="78">
        <v>0</v>
      </c>
      <c r="F688" s="78">
        <v>0</v>
      </c>
      <c r="G688" s="78">
        <v>0</v>
      </c>
      <c r="H688" s="78">
        <v>0</v>
      </c>
      <c r="I688" s="78">
        <v>0</v>
      </c>
      <c r="J688" s="78">
        <v>0</v>
      </c>
      <c r="K688" s="78">
        <v>0</v>
      </c>
      <c r="L688" s="36" t="e">
        <f t="shared" ca="1" si="154"/>
        <v>#N/A</v>
      </c>
      <c r="M688" s="37" t="e">
        <f t="shared" ca="1" si="155"/>
        <v>#N/A</v>
      </c>
      <c r="N688" s="37" t="e">
        <f t="shared" ca="1" si="149"/>
        <v>#N/A</v>
      </c>
      <c r="P688" s="35" t="e">
        <f t="shared" ca="1" si="152"/>
        <v>#N/A</v>
      </c>
      <c r="Q688" s="59" t="e">
        <f t="shared" ca="1" si="150"/>
        <v>#N/A</v>
      </c>
      <c r="R688" s="44" t="e">
        <f t="shared" ca="1" si="156"/>
        <v>#N/A</v>
      </c>
      <c r="S688" s="37" t="e">
        <f ca="1">IF(P688="","",IF(P688="Total",SUM($S$19:S687),VLOOKUP($P688,$B$12:$L752,11,FALSE)))</f>
        <v>#N/A</v>
      </c>
      <c r="T688" s="44" t="e">
        <f ca="1">IF(payfreq="Annually",IF(P688="","",IF(P688="Total",SUM($T$19:T687),Adj_Rate*$R688)),IF(payfreq="Semiannually",IF(P688="","",IF(P688="Total",SUM($T$19:T687),Adj_Rate/2*$R688)),IF(payfreq="Quarterly",IF(P688="","",IF(P688="Total",SUM($T$19:T687),Adj_Rate/4*$R688)),IF(payfreq="Monthly",IF(P688="","",IF(P688="Total",SUM($T$19:T687),Adj_Rate/12*$R688)),""))))</f>
        <v>#N/A</v>
      </c>
      <c r="U688" s="37" t="e">
        <f t="shared" ca="1" si="157"/>
        <v>#N/A</v>
      </c>
      <c r="V688" s="44" t="e">
        <f t="shared" ca="1" si="158"/>
        <v>#N/A</v>
      </c>
    </row>
    <row r="689" spans="2:22">
      <c r="B689" s="38" t="e">
        <f t="shared" ca="1" si="151"/>
        <v>#N/A</v>
      </c>
      <c r="C689" s="77" t="e">
        <f t="shared" ca="1" si="153"/>
        <v>#N/A</v>
      </c>
      <c r="D689" s="78" t="e">
        <f ca="1">+IF(AND(B689&lt;$G$7),VLOOKUP($B$1,Inventory!$A$1:$BC$500,35,FALSE),IF(AND(B689=$G$7,pmt_timing="End"),VLOOKUP($B$1,Inventory!$A$1:$BC$500,35,FALSE),0))</f>
        <v>#N/A</v>
      </c>
      <c r="E689" s="78">
        <v>0</v>
      </c>
      <c r="F689" s="78">
        <v>0</v>
      </c>
      <c r="G689" s="78">
        <v>0</v>
      </c>
      <c r="H689" s="78">
        <v>0</v>
      </c>
      <c r="I689" s="78">
        <v>0</v>
      </c>
      <c r="J689" s="78">
        <v>0</v>
      </c>
      <c r="K689" s="78">
        <v>0</v>
      </c>
      <c r="L689" s="36" t="e">
        <f t="shared" ca="1" si="154"/>
        <v>#N/A</v>
      </c>
      <c r="M689" s="37" t="e">
        <f t="shared" ca="1" si="155"/>
        <v>#N/A</v>
      </c>
      <c r="N689" s="37" t="e">
        <f t="shared" ca="1" si="149"/>
        <v>#N/A</v>
      </c>
      <c r="P689" s="35" t="e">
        <f t="shared" ca="1" si="152"/>
        <v>#N/A</v>
      </c>
      <c r="Q689" s="59" t="e">
        <f t="shared" ca="1" si="150"/>
        <v>#N/A</v>
      </c>
      <c r="R689" s="44" t="e">
        <f t="shared" ca="1" si="156"/>
        <v>#N/A</v>
      </c>
      <c r="S689" s="37" t="e">
        <f ca="1">IF(P689="","",IF(P689="Total",SUM($S$19:S688),VLOOKUP($P689,$B$12:$L753,11,FALSE)))</f>
        <v>#N/A</v>
      </c>
      <c r="T689" s="44" t="e">
        <f ca="1">IF(payfreq="Annually",IF(P689="","",IF(P689="Total",SUM($T$19:T688),Adj_Rate*$R689)),IF(payfreq="Semiannually",IF(P689="","",IF(P689="Total",SUM($T$19:T688),Adj_Rate/2*$R689)),IF(payfreq="Quarterly",IF(P689="","",IF(P689="Total",SUM($T$19:T688),Adj_Rate/4*$R689)),IF(payfreq="Monthly",IF(P689="","",IF(P689="Total",SUM($T$19:T688),Adj_Rate/12*$R689)),""))))</f>
        <v>#N/A</v>
      </c>
      <c r="U689" s="37" t="e">
        <f t="shared" ca="1" si="157"/>
        <v>#N/A</v>
      </c>
      <c r="V689" s="44" t="e">
        <f t="shared" ca="1" si="158"/>
        <v>#N/A</v>
      </c>
    </row>
    <row r="690" spans="2:22">
      <c r="B690" s="38" t="e">
        <f t="shared" ca="1" si="151"/>
        <v>#N/A</v>
      </c>
      <c r="C690" s="77" t="e">
        <f t="shared" ca="1" si="153"/>
        <v>#N/A</v>
      </c>
      <c r="D690" s="78" t="e">
        <f ca="1">+IF(AND(B690&lt;$G$7),VLOOKUP($B$1,Inventory!$A$1:$BC$500,35,FALSE),IF(AND(B690=$G$7,pmt_timing="End"),VLOOKUP($B$1,Inventory!$A$1:$BC$500,35,FALSE),0))</f>
        <v>#N/A</v>
      </c>
      <c r="E690" s="78">
        <v>0</v>
      </c>
      <c r="F690" s="78">
        <v>0</v>
      </c>
      <c r="G690" s="78">
        <v>0</v>
      </c>
      <c r="H690" s="78">
        <v>0</v>
      </c>
      <c r="I690" s="78">
        <v>0</v>
      </c>
      <c r="J690" s="78">
        <v>0</v>
      </c>
      <c r="K690" s="78">
        <v>0</v>
      </c>
      <c r="L690" s="36" t="e">
        <f t="shared" ca="1" si="154"/>
        <v>#N/A</v>
      </c>
      <c r="M690" s="37" t="e">
        <f t="shared" ca="1" si="155"/>
        <v>#N/A</v>
      </c>
      <c r="N690" s="37" t="e">
        <f t="shared" ca="1" si="149"/>
        <v>#N/A</v>
      </c>
      <c r="P690" s="35" t="e">
        <f t="shared" ca="1" si="152"/>
        <v>#N/A</v>
      </c>
      <c r="Q690" s="59" t="e">
        <f t="shared" ca="1" si="150"/>
        <v>#N/A</v>
      </c>
      <c r="R690" s="44" t="e">
        <f t="shared" ca="1" si="156"/>
        <v>#N/A</v>
      </c>
      <c r="S690" s="37" t="e">
        <f ca="1">IF(P690="","",IF(P690="Total",SUM($S$19:S689),VLOOKUP($P690,$B$12:$L754,11,FALSE)))</f>
        <v>#N/A</v>
      </c>
      <c r="T690" s="44" t="e">
        <f ca="1">IF(payfreq="Annually",IF(P690="","",IF(P690="Total",SUM($T$19:T689),Adj_Rate*$R690)),IF(payfreq="Semiannually",IF(P690="","",IF(P690="Total",SUM($T$19:T689),Adj_Rate/2*$R690)),IF(payfreq="Quarterly",IF(P690="","",IF(P690="Total",SUM($T$19:T689),Adj_Rate/4*$R690)),IF(payfreq="Monthly",IF(P690="","",IF(P690="Total",SUM($T$19:T689),Adj_Rate/12*$R690)),""))))</f>
        <v>#N/A</v>
      </c>
      <c r="U690" s="37" t="e">
        <f t="shared" ca="1" si="157"/>
        <v>#N/A</v>
      </c>
      <c r="V690" s="44" t="e">
        <f t="shared" ca="1" si="158"/>
        <v>#N/A</v>
      </c>
    </row>
    <row r="691" spans="2:22">
      <c r="B691" s="38" t="e">
        <f t="shared" ca="1" si="151"/>
        <v>#N/A</v>
      </c>
      <c r="C691" s="77" t="e">
        <f t="shared" ca="1" si="153"/>
        <v>#N/A</v>
      </c>
      <c r="D691" s="78" t="e">
        <f ca="1">+IF(AND(B691&lt;$G$7),VLOOKUP($B$1,Inventory!$A$1:$BC$500,35,FALSE),IF(AND(B691=$G$7,pmt_timing="End"),VLOOKUP($B$1,Inventory!$A$1:$BC$500,35,FALSE),0))</f>
        <v>#N/A</v>
      </c>
      <c r="E691" s="78">
        <v>0</v>
      </c>
      <c r="F691" s="78">
        <v>0</v>
      </c>
      <c r="G691" s="78">
        <v>0</v>
      </c>
      <c r="H691" s="78">
        <v>0</v>
      </c>
      <c r="I691" s="78">
        <v>0</v>
      </c>
      <c r="J691" s="78">
        <v>0</v>
      </c>
      <c r="K691" s="78">
        <v>0</v>
      </c>
      <c r="L691" s="36" t="e">
        <f t="shared" ca="1" si="154"/>
        <v>#N/A</v>
      </c>
      <c r="M691" s="37" t="e">
        <f t="shared" ca="1" si="155"/>
        <v>#N/A</v>
      </c>
      <c r="N691" s="37" t="e">
        <f t="shared" ca="1" si="149"/>
        <v>#N/A</v>
      </c>
      <c r="P691" s="35" t="e">
        <f t="shared" ca="1" si="152"/>
        <v>#N/A</v>
      </c>
      <c r="Q691" s="59" t="e">
        <f t="shared" ca="1" si="150"/>
        <v>#N/A</v>
      </c>
      <c r="R691" s="44" t="e">
        <f t="shared" ca="1" si="156"/>
        <v>#N/A</v>
      </c>
      <c r="S691" s="37" t="e">
        <f ca="1">IF(P691="","",IF(P691="Total",SUM($S$19:S690),VLOOKUP($P691,$B$12:$L755,11,FALSE)))</f>
        <v>#N/A</v>
      </c>
      <c r="T691" s="44" t="e">
        <f ca="1">IF(payfreq="Annually",IF(P691="","",IF(P691="Total",SUM($T$19:T690),Adj_Rate*$R691)),IF(payfreq="Semiannually",IF(P691="","",IF(P691="Total",SUM($T$19:T690),Adj_Rate/2*$R691)),IF(payfreq="Quarterly",IF(P691="","",IF(P691="Total",SUM($T$19:T690),Adj_Rate/4*$R691)),IF(payfreq="Monthly",IF(P691="","",IF(P691="Total",SUM($T$19:T690),Adj_Rate/12*$R691)),""))))</f>
        <v>#N/A</v>
      </c>
      <c r="U691" s="37" t="e">
        <f t="shared" ca="1" si="157"/>
        <v>#N/A</v>
      </c>
      <c r="V691" s="44" t="e">
        <f t="shared" ca="1" si="158"/>
        <v>#N/A</v>
      </c>
    </row>
    <row r="692" spans="2:22">
      <c r="B692" s="38" t="e">
        <f t="shared" ca="1" si="151"/>
        <v>#N/A</v>
      </c>
      <c r="C692" s="77" t="e">
        <f t="shared" ca="1" si="153"/>
        <v>#N/A</v>
      </c>
      <c r="D692" s="78" t="e">
        <f ca="1">+IF(AND(B692&lt;$G$7),VLOOKUP($B$1,Inventory!$A$1:$BC$500,35,FALSE),IF(AND(B692=$G$7,pmt_timing="End"),VLOOKUP($B$1,Inventory!$A$1:$BC$500,35,FALSE),0))</f>
        <v>#N/A</v>
      </c>
      <c r="E692" s="78">
        <v>0</v>
      </c>
      <c r="F692" s="78">
        <v>0</v>
      </c>
      <c r="G692" s="78">
        <v>0</v>
      </c>
      <c r="H692" s="78">
        <v>0</v>
      </c>
      <c r="I692" s="78">
        <v>0</v>
      </c>
      <c r="J692" s="78">
        <v>0</v>
      </c>
      <c r="K692" s="78">
        <v>0</v>
      </c>
      <c r="L692" s="36" t="e">
        <f t="shared" ca="1" si="154"/>
        <v>#N/A</v>
      </c>
      <c r="M692" s="37" t="e">
        <f t="shared" ca="1" si="155"/>
        <v>#N/A</v>
      </c>
      <c r="N692" s="37" t="e">
        <f t="shared" ca="1" si="149"/>
        <v>#N/A</v>
      </c>
      <c r="P692" s="35" t="e">
        <f t="shared" ca="1" si="152"/>
        <v>#N/A</v>
      </c>
      <c r="Q692" s="59" t="e">
        <f t="shared" ca="1" si="150"/>
        <v>#N/A</v>
      </c>
      <c r="R692" s="44" t="e">
        <f t="shared" ca="1" si="156"/>
        <v>#N/A</v>
      </c>
      <c r="S692" s="37" t="e">
        <f ca="1">IF(P692="","",IF(P692="Total",SUM($S$19:S691),VLOOKUP($P692,$B$12:$L756,11,FALSE)))</f>
        <v>#N/A</v>
      </c>
      <c r="T692" s="44" t="e">
        <f ca="1">IF(payfreq="Annually",IF(P692="","",IF(P692="Total",SUM($T$19:T691),Adj_Rate*$R692)),IF(payfreq="Semiannually",IF(P692="","",IF(P692="Total",SUM($T$19:T691),Adj_Rate/2*$R692)),IF(payfreq="Quarterly",IF(P692="","",IF(P692="Total",SUM($T$19:T691),Adj_Rate/4*$R692)),IF(payfreq="Monthly",IF(P692="","",IF(P692="Total",SUM($T$19:T691),Adj_Rate/12*$R692)),""))))</f>
        <v>#N/A</v>
      </c>
      <c r="U692" s="37" t="e">
        <f t="shared" ca="1" si="157"/>
        <v>#N/A</v>
      </c>
      <c r="V692" s="44" t="e">
        <f t="shared" ca="1" si="158"/>
        <v>#N/A</v>
      </c>
    </row>
    <row r="693" spans="2:22">
      <c r="B693" s="38" t="e">
        <f t="shared" ca="1" si="151"/>
        <v>#N/A</v>
      </c>
      <c r="C693" s="77" t="e">
        <f t="shared" ca="1" si="153"/>
        <v>#N/A</v>
      </c>
      <c r="D693" s="78" t="e">
        <f ca="1">+IF(AND(B693&lt;$G$7),VLOOKUP($B$1,Inventory!$A$1:$BC$500,35,FALSE),IF(AND(B693=$G$7,pmt_timing="End"),VLOOKUP($B$1,Inventory!$A$1:$BC$500,35,FALSE),0))</f>
        <v>#N/A</v>
      </c>
      <c r="E693" s="78">
        <v>0</v>
      </c>
      <c r="F693" s="78">
        <v>0</v>
      </c>
      <c r="G693" s="78">
        <v>0</v>
      </c>
      <c r="H693" s="78">
        <v>0</v>
      </c>
      <c r="I693" s="78">
        <v>0</v>
      </c>
      <c r="J693" s="78">
        <v>0</v>
      </c>
      <c r="K693" s="78">
        <v>0</v>
      </c>
      <c r="L693" s="36" t="e">
        <f t="shared" ca="1" si="154"/>
        <v>#N/A</v>
      </c>
      <c r="M693" s="37" t="e">
        <f t="shared" ca="1" si="155"/>
        <v>#N/A</v>
      </c>
      <c r="N693" s="37" t="e">
        <f t="shared" ca="1" si="149"/>
        <v>#N/A</v>
      </c>
      <c r="P693" s="35" t="e">
        <f t="shared" ca="1" si="152"/>
        <v>#N/A</v>
      </c>
      <c r="Q693" s="59" t="e">
        <f t="shared" ca="1" si="150"/>
        <v>#N/A</v>
      </c>
      <c r="R693" s="44" t="e">
        <f t="shared" ca="1" si="156"/>
        <v>#N/A</v>
      </c>
      <c r="S693" s="37" t="e">
        <f ca="1">IF(P693="","",IF(P693="Total",SUM($S$19:S692),VLOOKUP($P693,$B$12:$L757,11,FALSE)))</f>
        <v>#N/A</v>
      </c>
      <c r="T693" s="44" t="e">
        <f ca="1">IF(payfreq="Annually",IF(P693="","",IF(P693="Total",SUM($T$19:T692),Adj_Rate*$R693)),IF(payfreq="Semiannually",IF(P693="","",IF(P693="Total",SUM($T$19:T692),Adj_Rate/2*$R693)),IF(payfreq="Quarterly",IF(P693="","",IF(P693="Total",SUM($T$19:T692),Adj_Rate/4*$R693)),IF(payfreq="Monthly",IF(P693="","",IF(P693="Total",SUM($T$19:T692),Adj_Rate/12*$R693)),""))))</f>
        <v>#N/A</v>
      </c>
      <c r="U693" s="37" t="e">
        <f t="shared" ca="1" si="157"/>
        <v>#N/A</v>
      </c>
      <c r="V693" s="44" t="e">
        <f t="shared" ca="1" si="158"/>
        <v>#N/A</v>
      </c>
    </row>
    <row r="694" spans="2:22">
      <c r="B694" s="38" t="e">
        <f t="shared" ca="1" si="151"/>
        <v>#N/A</v>
      </c>
      <c r="C694" s="77" t="e">
        <f t="shared" ca="1" si="153"/>
        <v>#N/A</v>
      </c>
      <c r="D694" s="78" t="e">
        <f ca="1">+IF(AND(B694&lt;$G$7),VLOOKUP($B$1,Inventory!$A$1:$BC$500,35,FALSE),IF(AND(B694=$G$7,pmt_timing="End"),VLOOKUP($B$1,Inventory!$A$1:$BC$500,35,FALSE),0))</f>
        <v>#N/A</v>
      </c>
      <c r="E694" s="78">
        <v>0</v>
      </c>
      <c r="F694" s="78">
        <v>0</v>
      </c>
      <c r="G694" s="78">
        <v>0</v>
      </c>
      <c r="H694" s="78">
        <v>0</v>
      </c>
      <c r="I694" s="78">
        <v>0</v>
      </c>
      <c r="J694" s="78">
        <v>0</v>
      </c>
      <c r="K694" s="78">
        <v>0</v>
      </c>
      <c r="L694" s="36" t="e">
        <f t="shared" ca="1" si="154"/>
        <v>#N/A</v>
      </c>
      <c r="M694" s="37" t="e">
        <f t="shared" ca="1" si="155"/>
        <v>#N/A</v>
      </c>
      <c r="N694" s="37" t="e">
        <f t="shared" ca="1" si="149"/>
        <v>#N/A</v>
      </c>
      <c r="P694" s="35" t="e">
        <f t="shared" ca="1" si="152"/>
        <v>#N/A</v>
      </c>
      <c r="Q694" s="59" t="e">
        <f t="shared" ca="1" si="150"/>
        <v>#N/A</v>
      </c>
      <c r="R694" s="44" t="e">
        <f t="shared" ca="1" si="156"/>
        <v>#N/A</v>
      </c>
      <c r="S694" s="37" t="e">
        <f ca="1">IF(P694="","",IF(P694="Total",SUM($S$19:S693),VLOOKUP($P694,$B$12:$L758,11,FALSE)))</f>
        <v>#N/A</v>
      </c>
      <c r="T694" s="44" t="e">
        <f ca="1">IF(payfreq="Annually",IF(P694="","",IF(P694="Total",SUM($T$19:T693),Adj_Rate*$R694)),IF(payfreq="Semiannually",IF(P694="","",IF(P694="Total",SUM($T$19:T693),Adj_Rate/2*$R694)),IF(payfreq="Quarterly",IF(P694="","",IF(P694="Total",SUM($T$19:T693),Adj_Rate/4*$R694)),IF(payfreq="Monthly",IF(P694="","",IF(P694="Total",SUM($T$19:T693),Adj_Rate/12*$R694)),""))))</f>
        <v>#N/A</v>
      </c>
      <c r="U694" s="37" t="e">
        <f t="shared" ca="1" si="157"/>
        <v>#N/A</v>
      </c>
      <c r="V694" s="44" t="e">
        <f t="shared" ca="1" si="158"/>
        <v>#N/A</v>
      </c>
    </row>
    <row r="695" spans="2:22">
      <c r="B695" s="38" t="e">
        <f t="shared" ca="1" si="151"/>
        <v>#N/A</v>
      </c>
      <c r="C695" s="77" t="e">
        <f t="shared" ca="1" si="153"/>
        <v>#N/A</v>
      </c>
      <c r="D695" s="78" t="e">
        <f ca="1">+IF(AND(B695&lt;$G$7),VLOOKUP($B$1,Inventory!$A$1:$BC$500,35,FALSE),IF(AND(B695=$G$7,pmt_timing="End"),VLOOKUP($B$1,Inventory!$A$1:$BC$500,35,FALSE),0))</f>
        <v>#N/A</v>
      </c>
      <c r="E695" s="78">
        <v>0</v>
      </c>
      <c r="F695" s="78">
        <v>0</v>
      </c>
      <c r="G695" s="78">
        <v>0</v>
      </c>
      <c r="H695" s="78">
        <v>0</v>
      </c>
      <c r="I695" s="78">
        <v>0</v>
      </c>
      <c r="J695" s="78">
        <v>0</v>
      </c>
      <c r="K695" s="78">
        <v>0</v>
      </c>
      <c r="L695" s="36" t="e">
        <f t="shared" ca="1" si="154"/>
        <v>#N/A</v>
      </c>
      <c r="M695" s="37" t="e">
        <f t="shared" ca="1" si="155"/>
        <v>#N/A</v>
      </c>
      <c r="N695" s="37" t="e">
        <f t="shared" ca="1" si="149"/>
        <v>#N/A</v>
      </c>
      <c r="P695" s="35" t="e">
        <f t="shared" ca="1" si="152"/>
        <v>#N/A</v>
      </c>
      <c r="Q695" s="59" t="e">
        <f t="shared" ca="1" si="150"/>
        <v>#N/A</v>
      </c>
      <c r="R695" s="44" t="e">
        <f t="shared" ca="1" si="156"/>
        <v>#N/A</v>
      </c>
      <c r="S695" s="37" t="e">
        <f ca="1">IF(P695="","",IF(P695="Total",SUM($S$19:S694),VLOOKUP($P695,$B$12:$L759,11,FALSE)))</f>
        <v>#N/A</v>
      </c>
      <c r="T695" s="44" t="e">
        <f ca="1">IF(payfreq="Annually",IF(P695="","",IF(P695="Total",SUM($T$19:T694),Adj_Rate*$R695)),IF(payfreq="Semiannually",IF(P695="","",IF(P695="Total",SUM($T$19:T694),Adj_Rate/2*$R695)),IF(payfreq="Quarterly",IF(P695="","",IF(P695="Total",SUM($T$19:T694),Adj_Rate/4*$R695)),IF(payfreq="Monthly",IF(P695="","",IF(P695="Total",SUM($T$19:T694),Adj_Rate/12*$R695)),""))))</f>
        <v>#N/A</v>
      </c>
      <c r="U695" s="37" t="e">
        <f t="shared" ca="1" si="157"/>
        <v>#N/A</v>
      </c>
      <c r="V695" s="44" t="e">
        <f t="shared" ca="1" si="158"/>
        <v>#N/A</v>
      </c>
    </row>
    <row r="696" spans="2:22">
      <c r="B696" s="38" t="e">
        <f t="shared" ca="1" si="151"/>
        <v>#N/A</v>
      </c>
      <c r="C696" s="77" t="e">
        <f t="shared" ca="1" si="153"/>
        <v>#N/A</v>
      </c>
      <c r="D696" s="78" t="e">
        <f ca="1">+IF(AND(B696&lt;$G$7),VLOOKUP($B$1,Inventory!$A$1:$BC$500,35,FALSE),IF(AND(B696=$G$7,pmt_timing="End"),VLOOKUP($B$1,Inventory!$A$1:$BC$500,35,FALSE),0))</f>
        <v>#N/A</v>
      </c>
      <c r="E696" s="78">
        <v>0</v>
      </c>
      <c r="F696" s="78">
        <v>0</v>
      </c>
      <c r="G696" s="78">
        <v>0</v>
      </c>
      <c r="H696" s="78">
        <v>0</v>
      </c>
      <c r="I696" s="78">
        <v>0</v>
      </c>
      <c r="J696" s="78">
        <v>0</v>
      </c>
      <c r="K696" s="78">
        <v>0</v>
      </c>
      <c r="L696" s="36" t="e">
        <f t="shared" ca="1" si="154"/>
        <v>#N/A</v>
      </c>
      <c r="M696" s="37" t="e">
        <f t="shared" ca="1" si="155"/>
        <v>#N/A</v>
      </c>
      <c r="N696" s="37" t="e">
        <f t="shared" ca="1" si="149"/>
        <v>#N/A</v>
      </c>
      <c r="P696" s="35" t="e">
        <f t="shared" ca="1" si="152"/>
        <v>#N/A</v>
      </c>
      <c r="Q696" s="59" t="e">
        <f t="shared" ca="1" si="150"/>
        <v>#N/A</v>
      </c>
      <c r="R696" s="44" t="e">
        <f t="shared" ca="1" si="156"/>
        <v>#N/A</v>
      </c>
      <c r="S696" s="37" t="e">
        <f ca="1">IF(P696="","",IF(P696="Total",SUM($S$19:S695),VLOOKUP($P696,$B$12:$L760,11,FALSE)))</f>
        <v>#N/A</v>
      </c>
      <c r="T696" s="44" t="e">
        <f ca="1">IF(payfreq="Annually",IF(P696="","",IF(P696="Total",SUM($T$19:T695),Adj_Rate*$R696)),IF(payfreq="Semiannually",IF(P696="","",IF(P696="Total",SUM($T$19:T695),Adj_Rate/2*$R696)),IF(payfreq="Quarterly",IF(P696="","",IF(P696="Total",SUM($T$19:T695),Adj_Rate/4*$R696)),IF(payfreq="Monthly",IF(P696="","",IF(P696="Total",SUM($T$19:T695),Adj_Rate/12*$R696)),""))))</f>
        <v>#N/A</v>
      </c>
      <c r="U696" s="37" t="e">
        <f t="shared" ca="1" si="157"/>
        <v>#N/A</v>
      </c>
      <c r="V696" s="44" t="e">
        <f t="shared" ca="1" si="158"/>
        <v>#N/A</v>
      </c>
    </row>
    <row r="697" spans="2:22">
      <c r="B697" s="38" t="e">
        <f t="shared" ca="1" si="151"/>
        <v>#N/A</v>
      </c>
      <c r="C697" s="77" t="e">
        <f t="shared" ca="1" si="153"/>
        <v>#N/A</v>
      </c>
      <c r="D697" s="78" t="e">
        <f ca="1">+IF(AND(B697&lt;$G$7),VLOOKUP($B$1,Inventory!$A$1:$BC$500,35,FALSE),IF(AND(B697=$G$7,pmt_timing="End"),VLOOKUP($B$1,Inventory!$A$1:$BC$500,35,FALSE),0))</f>
        <v>#N/A</v>
      </c>
      <c r="E697" s="78">
        <v>0</v>
      </c>
      <c r="F697" s="78">
        <v>0</v>
      </c>
      <c r="G697" s="78">
        <v>0</v>
      </c>
      <c r="H697" s="78">
        <v>0</v>
      </c>
      <c r="I697" s="78">
        <v>0</v>
      </c>
      <c r="J697" s="78">
        <v>0</v>
      </c>
      <c r="K697" s="78">
        <v>0</v>
      </c>
      <c r="L697" s="36" t="e">
        <f t="shared" ca="1" si="154"/>
        <v>#N/A</v>
      </c>
      <c r="M697" s="37" t="e">
        <f t="shared" ca="1" si="155"/>
        <v>#N/A</v>
      </c>
      <c r="N697" s="37" t="e">
        <f t="shared" ca="1" si="149"/>
        <v>#N/A</v>
      </c>
      <c r="P697" s="35" t="e">
        <f t="shared" ca="1" si="152"/>
        <v>#N/A</v>
      </c>
      <c r="Q697" s="59" t="e">
        <f t="shared" ca="1" si="150"/>
        <v>#N/A</v>
      </c>
      <c r="R697" s="44" t="e">
        <f t="shared" ca="1" si="156"/>
        <v>#N/A</v>
      </c>
      <c r="S697" s="37" t="e">
        <f ca="1">IF(P697="","",IF(P697="Total",SUM($S$19:S696),VLOOKUP($P697,$B$12:$L761,11,FALSE)))</f>
        <v>#N/A</v>
      </c>
      <c r="T697" s="44" t="e">
        <f ca="1">IF(payfreq="Annually",IF(P697="","",IF(P697="Total",SUM($T$19:T696),Adj_Rate*$R697)),IF(payfreq="Semiannually",IF(P697="","",IF(P697="Total",SUM($T$19:T696),Adj_Rate/2*$R697)),IF(payfreq="Quarterly",IF(P697="","",IF(P697="Total",SUM($T$19:T696),Adj_Rate/4*$R697)),IF(payfreq="Monthly",IF(P697="","",IF(P697="Total",SUM($T$19:T696),Adj_Rate/12*$R697)),""))))</f>
        <v>#N/A</v>
      </c>
      <c r="U697" s="37" t="e">
        <f t="shared" ca="1" si="157"/>
        <v>#N/A</v>
      </c>
      <c r="V697" s="44" t="e">
        <f t="shared" ca="1" si="158"/>
        <v>#N/A</v>
      </c>
    </row>
    <row r="698" spans="2:22">
      <c r="B698" s="38" t="e">
        <f t="shared" ca="1" si="151"/>
        <v>#N/A</v>
      </c>
      <c r="C698" s="77" t="e">
        <f t="shared" ca="1" si="153"/>
        <v>#N/A</v>
      </c>
      <c r="D698" s="78" t="e">
        <f ca="1">+IF(AND(B698&lt;$G$7),VLOOKUP($B$1,Inventory!$A$1:$BC$500,35,FALSE),IF(AND(B698=$G$7,pmt_timing="End"),VLOOKUP($B$1,Inventory!$A$1:$BC$500,35,FALSE),0))</f>
        <v>#N/A</v>
      </c>
      <c r="E698" s="78">
        <v>0</v>
      </c>
      <c r="F698" s="78">
        <v>0</v>
      </c>
      <c r="G698" s="78">
        <v>0</v>
      </c>
      <c r="H698" s="78">
        <v>0</v>
      </c>
      <c r="I698" s="78">
        <v>0</v>
      </c>
      <c r="J698" s="78">
        <v>0</v>
      </c>
      <c r="K698" s="78">
        <v>0</v>
      </c>
      <c r="L698" s="36" t="e">
        <f t="shared" ca="1" si="154"/>
        <v>#N/A</v>
      </c>
      <c r="M698" s="37" t="e">
        <f t="shared" ca="1" si="155"/>
        <v>#N/A</v>
      </c>
      <c r="N698" s="37" t="e">
        <f t="shared" ca="1" si="149"/>
        <v>#N/A</v>
      </c>
      <c r="P698" s="35" t="e">
        <f t="shared" ca="1" si="152"/>
        <v>#N/A</v>
      </c>
      <c r="Q698" s="59" t="e">
        <f t="shared" ca="1" si="150"/>
        <v>#N/A</v>
      </c>
      <c r="R698" s="44" t="e">
        <f t="shared" ca="1" si="156"/>
        <v>#N/A</v>
      </c>
      <c r="S698" s="37" t="e">
        <f ca="1">IF(P698="","",IF(P698="Total",SUM($S$19:S697),VLOOKUP($P698,$B$12:$L762,11,FALSE)))</f>
        <v>#N/A</v>
      </c>
      <c r="T698" s="44" t="e">
        <f ca="1">IF(payfreq="Annually",IF(P698="","",IF(P698="Total",SUM($T$19:T697),Adj_Rate*$R698)),IF(payfreq="Semiannually",IF(P698="","",IF(P698="Total",SUM($T$19:T697),Adj_Rate/2*$R698)),IF(payfreq="Quarterly",IF(P698="","",IF(P698="Total",SUM($T$19:T697),Adj_Rate/4*$R698)),IF(payfreq="Monthly",IF(P698="","",IF(P698="Total",SUM($T$19:T697),Adj_Rate/12*$R698)),""))))</f>
        <v>#N/A</v>
      </c>
      <c r="U698" s="37" t="e">
        <f t="shared" ca="1" si="157"/>
        <v>#N/A</v>
      </c>
      <c r="V698" s="44" t="e">
        <f t="shared" ca="1" si="158"/>
        <v>#N/A</v>
      </c>
    </row>
    <row r="699" spans="2:22">
      <c r="B699" s="38" t="e">
        <f t="shared" ca="1" si="151"/>
        <v>#N/A</v>
      </c>
      <c r="C699" s="77" t="e">
        <f t="shared" ca="1" si="153"/>
        <v>#N/A</v>
      </c>
      <c r="D699" s="78" t="e">
        <f ca="1">+IF(AND(B699&lt;$G$7),VLOOKUP($B$1,Inventory!$A$1:$BC$500,35,FALSE),IF(AND(B699=$G$7,pmt_timing="End"),VLOOKUP($B$1,Inventory!$A$1:$BC$500,35,FALSE),0))</f>
        <v>#N/A</v>
      </c>
      <c r="E699" s="78">
        <v>0</v>
      </c>
      <c r="F699" s="78">
        <v>0</v>
      </c>
      <c r="G699" s="78">
        <v>0</v>
      </c>
      <c r="H699" s="78">
        <v>0</v>
      </c>
      <c r="I699" s="78">
        <v>0</v>
      </c>
      <c r="J699" s="78">
        <v>0</v>
      </c>
      <c r="K699" s="78">
        <v>0</v>
      </c>
      <c r="L699" s="36" t="e">
        <f t="shared" ca="1" si="154"/>
        <v>#N/A</v>
      </c>
      <c r="M699" s="37" t="e">
        <f t="shared" ca="1" si="155"/>
        <v>#N/A</v>
      </c>
      <c r="N699" s="37" t="e">
        <f t="shared" ca="1" si="149"/>
        <v>#N/A</v>
      </c>
      <c r="P699" s="35" t="e">
        <f t="shared" ca="1" si="152"/>
        <v>#N/A</v>
      </c>
      <c r="Q699" s="59" t="e">
        <f t="shared" ca="1" si="150"/>
        <v>#N/A</v>
      </c>
      <c r="R699" s="44" t="e">
        <f t="shared" ca="1" si="156"/>
        <v>#N/A</v>
      </c>
      <c r="S699" s="37" t="e">
        <f ca="1">IF(P699="","",IF(P699="Total",SUM($S$19:S698),VLOOKUP($P699,$B$12:$L763,11,FALSE)))</f>
        <v>#N/A</v>
      </c>
      <c r="T699" s="44" t="e">
        <f ca="1">IF(payfreq="Annually",IF(P699="","",IF(P699="Total",SUM($T$19:T698),Adj_Rate*$R699)),IF(payfreq="Semiannually",IF(P699="","",IF(P699="Total",SUM($T$19:T698),Adj_Rate/2*$R699)),IF(payfreq="Quarterly",IF(P699="","",IF(P699="Total",SUM($T$19:T698),Adj_Rate/4*$R699)),IF(payfreq="Monthly",IF(P699="","",IF(P699="Total",SUM($T$19:T698),Adj_Rate/12*$R699)),""))))</f>
        <v>#N/A</v>
      </c>
      <c r="U699" s="37" t="e">
        <f t="shared" ca="1" si="157"/>
        <v>#N/A</v>
      </c>
      <c r="V699" s="44" t="e">
        <f t="shared" ca="1" si="158"/>
        <v>#N/A</v>
      </c>
    </row>
    <row r="700" spans="2:22">
      <c r="B700" s="38" t="e">
        <f t="shared" ca="1" si="151"/>
        <v>#N/A</v>
      </c>
      <c r="C700" s="77" t="e">
        <f t="shared" ca="1" si="153"/>
        <v>#N/A</v>
      </c>
      <c r="D700" s="78" t="e">
        <f ca="1">+IF(AND(B700&lt;$G$7),VLOOKUP($B$1,Inventory!$A$1:$BC$500,35,FALSE),IF(AND(B700=$G$7,pmt_timing="End"),VLOOKUP($B$1,Inventory!$A$1:$BC$500,35,FALSE),0))</f>
        <v>#N/A</v>
      </c>
      <c r="E700" s="78">
        <v>0</v>
      </c>
      <c r="F700" s="78">
        <v>0</v>
      </c>
      <c r="G700" s="78">
        <v>0</v>
      </c>
      <c r="H700" s="78">
        <v>0</v>
      </c>
      <c r="I700" s="78">
        <v>0</v>
      </c>
      <c r="J700" s="78">
        <v>0</v>
      </c>
      <c r="K700" s="78">
        <v>0</v>
      </c>
      <c r="L700" s="36" t="e">
        <f t="shared" ca="1" si="154"/>
        <v>#N/A</v>
      </c>
      <c r="M700" s="37" t="e">
        <f t="shared" ca="1" si="155"/>
        <v>#N/A</v>
      </c>
      <c r="N700" s="37" t="e">
        <f t="shared" ca="1" si="149"/>
        <v>#N/A</v>
      </c>
      <c r="P700" s="35" t="e">
        <f t="shared" ca="1" si="152"/>
        <v>#N/A</v>
      </c>
      <c r="Q700" s="59" t="e">
        <f t="shared" ca="1" si="150"/>
        <v>#N/A</v>
      </c>
      <c r="R700" s="44" t="e">
        <f t="shared" ca="1" si="156"/>
        <v>#N/A</v>
      </c>
      <c r="S700" s="37" t="e">
        <f ca="1">IF(P700="","",IF(P700="Total",SUM($S$19:S699),VLOOKUP($P700,$B$12:$L764,11,FALSE)))</f>
        <v>#N/A</v>
      </c>
      <c r="T700" s="44" t="e">
        <f ca="1">IF(payfreq="Annually",IF(P700="","",IF(P700="Total",SUM($T$19:T699),Adj_Rate*$R700)),IF(payfreq="Semiannually",IF(P700="","",IF(P700="Total",SUM($T$19:T699),Adj_Rate/2*$R700)),IF(payfreq="Quarterly",IF(P700="","",IF(P700="Total",SUM($T$19:T699),Adj_Rate/4*$R700)),IF(payfreq="Monthly",IF(P700="","",IF(P700="Total",SUM($T$19:T699),Adj_Rate/12*$R700)),""))))</f>
        <v>#N/A</v>
      </c>
      <c r="U700" s="37" t="e">
        <f t="shared" ca="1" si="157"/>
        <v>#N/A</v>
      </c>
      <c r="V700" s="44" t="e">
        <f t="shared" ca="1" si="158"/>
        <v>#N/A</v>
      </c>
    </row>
    <row r="701" spans="2:22">
      <c r="B701" s="38" t="e">
        <f t="shared" ca="1" si="151"/>
        <v>#N/A</v>
      </c>
      <c r="C701" s="77" t="e">
        <f t="shared" ca="1" si="153"/>
        <v>#N/A</v>
      </c>
      <c r="D701" s="78" t="e">
        <f ca="1">+IF(AND(B701&lt;$G$7),VLOOKUP($B$1,Inventory!$A$1:$BC$500,35,FALSE),IF(AND(B701=$G$7,pmt_timing="End"),VLOOKUP($B$1,Inventory!$A$1:$BC$500,35,FALSE),0))</f>
        <v>#N/A</v>
      </c>
      <c r="E701" s="78">
        <v>0</v>
      </c>
      <c r="F701" s="78">
        <v>0</v>
      </c>
      <c r="G701" s="78">
        <v>0</v>
      </c>
      <c r="H701" s="78">
        <v>0</v>
      </c>
      <c r="I701" s="78">
        <v>0</v>
      </c>
      <c r="J701" s="78">
        <v>0</v>
      </c>
      <c r="K701" s="78">
        <v>0</v>
      </c>
      <c r="L701" s="36" t="e">
        <f t="shared" ca="1" si="154"/>
        <v>#N/A</v>
      </c>
      <c r="M701" s="37" t="e">
        <f t="shared" ca="1" si="155"/>
        <v>#N/A</v>
      </c>
      <c r="N701" s="37" t="e">
        <f t="shared" ca="1" si="149"/>
        <v>#N/A</v>
      </c>
      <c r="P701" s="35" t="e">
        <f t="shared" ca="1" si="152"/>
        <v>#N/A</v>
      </c>
      <c r="Q701" s="59" t="e">
        <f t="shared" ca="1" si="150"/>
        <v>#N/A</v>
      </c>
      <c r="R701" s="44" t="e">
        <f t="shared" ca="1" si="156"/>
        <v>#N/A</v>
      </c>
      <c r="S701" s="37" t="e">
        <f ca="1">IF(P701="","",IF(P701="Total",SUM($S$19:S700),VLOOKUP($P701,$B$12:$L765,11,FALSE)))</f>
        <v>#N/A</v>
      </c>
      <c r="T701" s="44" t="e">
        <f ca="1">IF(payfreq="Annually",IF(P701="","",IF(P701="Total",SUM($T$19:T700),Adj_Rate*$R701)),IF(payfreq="Semiannually",IF(P701="","",IF(P701="Total",SUM($T$19:T700),Adj_Rate/2*$R701)),IF(payfreq="Quarterly",IF(P701="","",IF(P701="Total",SUM($T$19:T700),Adj_Rate/4*$R701)),IF(payfreq="Monthly",IF(P701="","",IF(P701="Total",SUM($T$19:T700),Adj_Rate/12*$R701)),""))))</f>
        <v>#N/A</v>
      </c>
      <c r="U701" s="37" t="e">
        <f t="shared" ca="1" si="157"/>
        <v>#N/A</v>
      </c>
      <c r="V701" s="44" t="e">
        <f t="shared" ca="1" si="158"/>
        <v>#N/A</v>
      </c>
    </row>
    <row r="702" spans="2:22">
      <c r="B702" s="38" t="e">
        <f t="shared" ca="1" si="151"/>
        <v>#N/A</v>
      </c>
      <c r="C702" s="77" t="e">
        <f t="shared" ca="1" si="153"/>
        <v>#N/A</v>
      </c>
      <c r="D702" s="78" t="e">
        <f ca="1">+IF(AND(B702&lt;$G$7),VLOOKUP($B$1,Inventory!$A$1:$BC$500,35,FALSE),IF(AND(B702=$G$7,pmt_timing="End"),VLOOKUP($B$1,Inventory!$A$1:$BC$500,35,FALSE),0))</f>
        <v>#N/A</v>
      </c>
      <c r="E702" s="78">
        <v>0</v>
      </c>
      <c r="F702" s="78">
        <v>0</v>
      </c>
      <c r="G702" s="78">
        <v>0</v>
      </c>
      <c r="H702" s="78">
        <v>0</v>
      </c>
      <c r="I702" s="78">
        <v>0</v>
      </c>
      <c r="J702" s="78">
        <v>0</v>
      </c>
      <c r="K702" s="78">
        <v>0</v>
      </c>
      <c r="L702" s="36" t="e">
        <f t="shared" ca="1" si="154"/>
        <v>#N/A</v>
      </c>
      <c r="M702" s="37" t="e">
        <f t="shared" ca="1" si="155"/>
        <v>#N/A</v>
      </c>
      <c r="N702" s="37" t="e">
        <f t="shared" ca="1" si="149"/>
        <v>#N/A</v>
      </c>
      <c r="P702" s="35" t="e">
        <f t="shared" ca="1" si="152"/>
        <v>#N/A</v>
      </c>
      <c r="Q702" s="59" t="e">
        <f t="shared" ca="1" si="150"/>
        <v>#N/A</v>
      </c>
      <c r="R702" s="44" t="e">
        <f t="shared" ca="1" si="156"/>
        <v>#N/A</v>
      </c>
      <c r="S702" s="37" t="e">
        <f ca="1">IF(P702="","",IF(P702="Total",SUM($S$19:S701),VLOOKUP($P702,$B$12:$L766,11,FALSE)))</f>
        <v>#N/A</v>
      </c>
      <c r="T702" s="44" t="e">
        <f ca="1">IF(payfreq="Annually",IF(P702="","",IF(P702="Total",SUM($T$19:T701),Adj_Rate*$R702)),IF(payfreq="Semiannually",IF(P702="","",IF(P702="Total",SUM($T$19:T701),Adj_Rate/2*$R702)),IF(payfreq="Quarterly",IF(P702="","",IF(P702="Total",SUM($T$19:T701),Adj_Rate/4*$R702)),IF(payfreq="Monthly",IF(P702="","",IF(P702="Total",SUM($T$19:T701),Adj_Rate/12*$R702)),""))))</f>
        <v>#N/A</v>
      </c>
      <c r="U702" s="37" t="e">
        <f t="shared" ca="1" si="157"/>
        <v>#N/A</v>
      </c>
      <c r="V702" s="44" t="e">
        <f t="shared" ca="1" si="158"/>
        <v>#N/A</v>
      </c>
    </row>
    <row r="703" spans="2:22">
      <c r="B703" s="38" t="e">
        <f t="shared" ca="1" si="151"/>
        <v>#N/A</v>
      </c>
      <c r="C703" s="77" t="e">
        <f t="shared" ca="1" si="153"/>
        <v>#N/A</v>
      </c>
      <c r="D703" s="78" t="e">
        <f ca="1">+IF(AND(B703&lt;$G$7),VLOOKUP($B$1,Inventory!$A$1:$BC$500,35,FALSE),IF(AND(B703=$G$7,pmt_timing="End"),VLOOKUP($B$1,Inventory!$A$1:$BC$500,35,FALSE),0))</f>
        <v>#N/A</v>
      </c>
      <c r="E703" s="78">
        <v>0</v>
      </c>
      <c r="F703" s="78">
        <v>0</v>
      </c>
      <c r="G703" s="78">
        <v>0</v>
      </c>
      <c r="H703" s="78">
        <v>0</v>
      </c>
      <c r="I703" s="78">
        <v>0</v>
      </c>
      <c r="J703" s="78">
        <v>0</v>
      </c>
      <c r="K703" s="78">
        <v>0</v>
      </c>
      <c r="L703" s="36" t="e">
        <f t="shared" ca="1" si="154"/>
        <v>#N/A</v>
      </c>
      <c r="M703" s="37" t="e">
        <f t="shared" ca="1" si="155"/>
        <v>#N/A</v>
      </c>
      <c r="N703" s="37" t="e">
        <f t="shared" ca="1" si="149"/>
        <v>#N/A</v>
      </c>
      <c r="P703" s="35" t="e">
        <f t="shared" ca="1" si="152"/>
        <v>#N/A</v>
      </c>
      <c r="Q703" s="59" t="e">
        <f t="shared" ca="1" si="150"/>
        <v>#N/A</v>
      </c>
      <c r="R703" s="44" t="e">
        <f t="shared" ca="1" si="156"/>
        <v>#N/A</v>
      </c>
      <c r="S703" s="37" t="e">
        <f ca="1">IF(P703="","",IF(P703="Total",SUM($S$19:S702),VLOOKUP($P703,$B$12:$L767,11,FALSE)))</f>
        <v>#N/A</v>
      </c>
      <c r="T703" s="44" t="e">
        <f ca="1">IF(payfreq="Annually",IF(P703="","",IF(P703="Total",SUM($T$19:T702),Adj_Rate*$R703)),IF(payfreq="Semiannually",IF(P703="","",IF(P703="Total",SUM($T$19:T702),Adj_Rate/2*$R703)),IF(payfreq="Quarterly",IF(P703="","",IF(P703="Total",SUM($T$19:T702),Adj_Rate/4*$R703)),IF(payfreq="Monthly",IF(P703="","",IF(P703="Total",SUM($T$19:T702),Adj_Rate/12*$R703)),""))))</f>
        <v>#N/A</v>
      </c>
      <c r="U703" s="37" t="e">
        <f t="shared" ca="1" si="157"/>
        <v>#N/A</v>
      </c>
      <c r="V703" s="44" t="e">
        <f t="shared" ca="1" si="158"/>
        <v>#N/A</v>
      </c>
    </row>
    <row r="704" spans="2:22">
      <c r="B704" s="38" t="e">
        <f t="shared" ca="1" si="151"/>
        <v>#N/A</v>
      </c>
      <c r="C704" s="77" t="e">
        <f t="shared" ca="1" si="153"/>
        <v>#N/A</v>
      </c>
      <c r="D704" s="78" t="e">
        <f ca="1">+IF(AND(B704&lt;$G$7),VLOOKUP($B$1,Inventory!$A$1:$BC$500,35,FALSE),IF(AND(B704=$G$7,pmt_timing="End"),VLOOKUP($B$1,Inventory!$A$1:$BC$500,35,FALSE),0))</f>
        <v>#N/A</v>
      </c>
      <c r="E704" s="78">
        <v>0</v>
      </c>
      <c r="F704" s="78">
        <v>0</v>
      </c>
      <c r="G704" s="78">
        <v>0</v>
      </c>
      <c r="H704" s="78">
        <v>0</v>
      </c>
      <c r="I704" s="78">
        <v>0</v>
      </c>
      <c r="J704" s="78">
        <v>0</v>
      </c>
      <c r="K704" s="78">
        <v>0</v>
      </c>
      <c r="L704" s="36" t="e">
        <f t="shared" ca="1" si="154"/>
        <v>#N/A</v>
      </c>
      <c r="M704" s="37" t="e">
        <f t="shared" ca="1" si="155"/>
        <v>#N/A</v>
      </c>
      <c r="N704" s="37" t="e">
        <f t="shared" ca="1" si="149"/>
        <v>#N/A</v>
      </c>
      <c r="P704" s="35" t="e">
        <f t="shared" ca="1" si="152"/>
        <v>#N/A</v>
      </c>
      <c r="Q704" s="59" t="e">
        <f t="shared" ca="1" si="150"/>
        <v>#N/A</v>
      </c>
      <c r="R704" s="44" t="e">
        <f t="shared" ca="1" si="156"/>
        <v>#N/A</v>
      </c>
      <c r="S704" s="37" t="e">
        <f ca="1">IF(P704="","",IF(P704="Total",SUM($S$19:S703),VLOOKUP($P704,$B$12:$L768,11,FALSE)))</f>
        <v>#N/A</v>
      </c>
      <c r="T704" s="44" t="e">
        <f ca="1">IF(payfreq="Annually",IF(P704="","",IF(P704="Total",SUM($T$19:T703),Adj_Rate*$R704)),IF(payfreq="Semiannually",IF(P704="","",IF(P704="Total",SUM($T$19:T703),Adj_Rate/2*$R704)),IF(payfreq="Quarterly",IF(P704="","",IF(P704="Total",SUM($T$19:T703),Adj_Rate/4*$R704)),IF(payfreq="Monthly",IF(P704="","",IF(P704="Total",SUM($T$19:T703),Adj_Rate/12*$R704)),""))))</f>
        <v>#N/A</v>
      </c>
      <c r="U704" s="37" t="e">
        <f t="shared" ca="1" si="157"/>
        <v>#N/A</v>
      </c>
      <c r="V704" s="44" t="e">
        <f t="shared" ca="1" si="158"/>
        <v>#N/A</v>
      </c>
    </row>
    <row r="705" spans="2:22">
      <c r="B705" s="38" t="e">
        <f t="shared" ca="1" si="151"/>
        <v>#N/A</v>
      </c>
      <c r="C705" s="77" t="e">
        <f t="shared" ca="1" si="153"/>
        <v>#N/A</v>
      </c>
      <c r="D705" s="78" t="e">
        <f ca="1">+IF(AND(B705&lt;$G$7),VLOOKUP($B$1,Inventory!$A$1:$BC$500,35,FALSE),IF(AND(B705=$G$7,pmt_timing="End"),VLOOKUP($B$1,Inventory!$A$1:$BC$500,35,FALSE),0))</f>
        <v>#N/A</v>
      </c>
      <c r="E705" s="78">
        <v>0</v>
      </c>
      <c r="F705" s="78">
        <v>0</v>
      </c>
      <c r="G705" s="78">
        <v>0</v>
      </c>
      <c r="H705" s="78">
        <v>0</v>
      </c>
      <c r="I705" s="78">
        <v>0</v>
      </c>
      <c r="J705" s="78">
        <v>0</v>
      </c>
      <c r="K705" s="78">
        <v>0</v>
      </c>
      <c r="L705" s="36" t="e">
        <f t="shared" ca="1" si="154"/>
        <v>#N/A</v>
      </c>
      <c r="M705" s="37" t="e">
        <f t="shared" ca="1" si="155"/>
        <v>#N/A</v>
      </c>
      <c r="N705" s="37" t="e">
        <f t="shared" ca="1" si="149"/>
        <v>#N/A</v>
      </c>
      <c r="P705" s="35" t="e">
        <f t="shared" ca="1" si="152"/>
        <v>#N/A</v>
      </c>
      <c r="Q705" s="59" t="e">
        <f t="shared" ca="1" si="150"/>
        <v>#N/A</v>
      </c>
      <c r="R705" s="44" t="e">
        <f t="shared" ca="1" si="156"/>
        <v>#N/A</v>
      </c>
      <c r="S705" s="37" t="e">
        <f ca="1">IF(P705="","",IF(P705="Total",SUM($S$19:S704),VLOOKUP($P705,$B$12:$L769,11,FALSE)))</f>
        <v>#N/A</v>
      </c>
      <c r="T705" s="44" t="e">
        <f ca="1">IF(payfreq="Annually",IF(P705="","",IF(P705="Total",SUM($T$19:T704),Adj_Rate*$R705)),IF(payfreq="Semiannually",IF(P705="","",IF(P705="Total",SUM($T$19:T704),Adj_Rate/2*$R705)),IF(payfreq="Quarterly",IF(P705="","",IF(P705="Total",SUM($T$19:T704),Adj_Rate/4*$R705)),IF(payfreq="Monthly",IF(P705="","",IF(P705="Total",SUM($T$19:T704),Adj_Rate/12*$R705)),""))))</f>
        <v>#N/A</v>
      </c>
      <c r="U705" s="37" t="e">
        <f t="shared" ca="1" si="157"/>
        <v>#N/A</v>
      </c>
      <c r="V705" s="44" t="e">
        <f t="shared" ca="1" si="158"/>
        <v>#N/A</v>
      </c>
    </row>
    <row r="706" spans="2:22">
      <c r="B706" s="38" t="e">
        <f t="shared" ca="1" si="151"/>
        <v>#N/A</v>
      </c>
      <c r="C706" s="77" t="e">
        <f t="shared" ca="1" si="153"/>
        <v>#N/A</v>
      </c>
      <c r="D706" s="78" t="e">
        <f ca="1">+IF(AND(B706&lt;$G$7),VLOOKUP($B$1,Inventory!$A$1:$BC$500,35,FALSE),IF(AND(B706=$G$7,pmt_timing="End"),VLOOKUP($B$1,Inventory!$A$1:$BC$500,35,FALSE),0))</f>
        <v>#N/A</v>
      </c>
      <c r="E706" s="78">
        <v>0</v>
      </c>
      <c r="F706" s="78">
        <v>0</v>
      </c>
      <c r="G706" s="78">
        <v>0</v>
      </c>
      <c r="H706" s="78">
        <v>0</v>
      </c>
      <c r="I706" s="78">
        <v>0</v>
      </c>
      <c r="J706" s="78">
        <v>0</v>
      </c>
      <c r="K706" s="78">
        <v>0</v>
      </c>
      <c r="L706" s="36" t="e">
        <f t="shared" ca="1" si="154"/>
        <v>#N/A</v>
      </c>
      <c r="M706" s="37" t="e">
        <f t="shared" ca="1" si="155"/>
        <v>#N/A</v>
      </c>
      <c r="N706" s="37" t="e">
        <f t="shared" ca="1" si="149"/>
        <v>#N/A</v>
      </c>
      <c r="P706" s="35" t="e">
        <f t="shared" ca="1" si="152"/>
        <v>#N/A</v>
      </c>
      <c r="Q706" s="59" t="e">
        <f t="shared" ca="1" si="150"/>
        <v>#N/A</v>
      </c>
      <c r="R706" s="44" t="e">
        <f t="shared" ca="1" si="156"/>
        <v>#N/A</v>
      </c>
      <c r="S706" s="37" t="e">
        <f ca="1">IF(P706="","",IF(P706="Total",SUM($S$19:S705),VLOOKUP($P706,$B$12:$L770,11,FALSE)))</f>
        <v>#N/A</v>
      </c>
      <c r="T706" s="44" t="e">
        <f ca="1">IF(payfreq="Annually",IF(P706="","",IF(P706="Total",SUM($T$19:T705),Adj_Rate*$R706)),IF(payfreq="Semiannually",IF(P706="","",IF(P706="Total",SUM($T$19:T705),Adj_Rate/2*$R706)),IF(payfreq="Quarterly",IF(P706="","",IF(P706="Total",SUM($T$19:T705),Adj_Rate/4*$R706)),IF(payfreq="Monthly",IF(P706="","",IF(P706="Total",SUM($T$19:T705),Adj_Rate/12*$R706)),""))))</f>
        <v>#N/A</v>
      </c>
      <c r="U706" s="37" t="e">
        <f t="shared" ca="1" si="157"/>
        <v>#N/A</v>
      </c>
      <c r="V706" s="44" t="e">
        <f t="shared" ca="1" si="158"/>
        <v>#N/A</v>
      </c>
    </row>
    <row r="707" spans="2:22">
      <c r="B707" s="38" t="e">
        <f t="shared" ca="1" si="151"/>
        <v>#N/A</v>
      </c>
      <c r="C707" s="77" t="e">
        <f t="shared" ca="1" si="153"/>
        <v>#N/A</v>
      </c>
      <c r="D707" s="78" t="e">
        <f ca="1">+IF(AND(B707&lt;$G$7),VLOOKUP($B$1,Inventory!$A$1:$BC$500,35,FALSE),IF(AND(B707=$G$7,pmt_timing="End"),VLOOKUP($B$1,Inventory!$A$1:$BC$500,35,FALSE),0))</f>
        <v>#N/A</v>
      </c>
      <c r="E707" s="78">
        <v>0</v>
      </c>
      <c r="F707" s="78">
        <v>0</v>
      </c>
      <c r="G707" s="78">
        <v>0</v>
      </c>
      <c r="H707" s="78">
        <v>0</v>
      </c>
      <c r="I707" s="78">
        <v>0</v>
      </c>
      <c r="J707" s="78">
        <v>0</v>
      </c>
      <c r="K707" s="78">
        <v>0</v>
      </c>
      <c r="L707" s="36" t="e">
        <f t="shared" ca="1" si="154"/>
        <v>#N/A</v>
      </c>
      <c r="M707" s="37" t="e">
        <f t="shared" ca="1" si="155"/>
        <v>#N/A</v>
      </c>
      <c r="N707" s="37" t="e">
        <f t="shared" ca="1" si="149"/>
        <v>#N/A</v>
      </c>
      <c r="P707" s="35" t="e">
        <f t="shared" ca="1" si="152"/>
        <v>#N/A</v>
      </c>
      <c r="Q707" s="59" t="e">
        <f t="shared" ca="1" si="150"/>
        <v>#N/A</v>
      </c>
      <c r="R707" s="44" t="e">
        <f t="shared" ca="1" si="156"/>
        <v>#N/A</v>
      </c>
      <c r="S707" s="37" t="e">
        <f ca="1">IF(P707="","",IF(P707="Total",SUM($S$19:S706),VLOOKUP($P707,$B$12:$L771,11,FALSE)))</f>
        <v>#N/A</v>
      </c>
      <c r="T707" s="44" t="e">
        <f ca="1">IF(payfreq="Annually",IF(P707="","",IF(P707="Total",SUM($T$19:T706),Adj_Rate*$R707)),IF(payfreq="Semiannually",IF(P707="","",IF(P707="Total",SUM($T$19:T706),Adj_Rate/2*$R707)),IF(payfreq="Quarterly",IF(P707="","",IF(P707="Total",SUM($T$19:T706),Adj_Rate/4*$R707)),IF(payfreq="Monthly",IF(P707="","",IF(P707="Total",SUM($T$19:T706),Adj_Rate/12*$R707)),""))))</f>
        <v>#N/A</v>
      </c>
      <c r="U707" s="37" t="e">
        <f t="shared" ca="1" si="157"/>
        <v>#N/A</v>
      </c>
      <c r="V707" s="44" t="e">
        <f t="shared" ca="1" si="158"/>
        <v>#N/A</v>
      </c>
    </row>
    <row r="708" spans="2:22">
      <c r="B708" s="38" t="e">
        <f t="shared" ca="1" si="151"/>
        <v>#N/A</v>
      </c>
      <c r="C708" s="77" t="e">
        <f t="shared" ca="1" si="153"/>
        <v>#N/A</v>
      </c>
      <c r="D708" s="78" t="e">
        <f ca="1">+IF(AND(B708&lt;$G$7),VLOOKUP($B$1,Inventory!$A$1:$BC$500,35,FALSE),IF(AND(B708=$G$7,pmt_timing="End"),VLOOKUP($B$1,Inventory!$A$1:$BC$500,35,FALSE),0))</f>
        <v>#N/A</v>
      </c>
      <c r="E708" s="78">
        <v>0</v>
      </c>
      <c r="F708" s="78">
        <v>0</v>
      </c>
      <c r="G708" s="78">
        <v>0</v>
      </c>
      <c r="H708" s="78">
        <v>0</v>
      </c>
      <c r="I708" s="78">
        <v>0</v>
      </c>
      <c r="J708" s="78">
        <v>0</v>
      </c>
      <c r="K708" s="78">
        <v>0</v>
      </c>
      <c r="L708" s="36" t="e">
        <f t="shared" ca="1" si="154"/>
        <v>#N/A</v>
      </c>
      <c r="M708" s="37" t="e">
        <f t="shared" ca="1" si="155"/>
        <v>#N/A</v>
      </c>
      <c r="N708" s="37" t="e">
        <f t="shared" ca="1" si="149"/>
        <v>#N/A</v>
      </c>
      <c r="P708" s="35" t="e">
        <f t="shared" ca="1" si="152"/>
        <v>#N/A</v>
      </c>
      <c r="Q708" s="59" t="e">
        <f t="shared" ca="1" si="150"/>
        <v>#N/A</v>
      </c>
      <c r="R708" s="44" t="e">
        <f t="shared" ca="1" si="156"/>
        <v>#N/A</v>
      </c>
      <c r="S708" s="37" t="e">
        <f ca="1">IF(P708="","",IF(P708="Total",SUM($S$19:S707),VLOOKUP($P708,$B$12:$L772,11,FALSE)))</f>
        <v>#N/A</v>
      </c>
      <c r="T708" s="44" t="e">
        <f ca="1">IF(payfreq="Annually",IF(P708="","",IF(P708="Total",SUM($T$19:T707),Adj_Rate*$R708)),IF(payfreq="Semiannually",IF(P708="","",IF(P708="Total",SUM($T$19:T707),Adj_Rate/2*$R708)),IF(payfreq="Quarterly",IF(P708="","",IF(P708="Total",SUM($T$19:T707),Adj_Rate/4*$R708)),IF(payfreq="Monthly",IF(P708="","",IF(P708="Total",SUM($T$19:T707),Adj_Rate/12*$R708)),""))))</f>
        <v>#N/A</v>
      </c>
      <c r="U708" s="37" t="e">
        <f t="shared" ca="1" si="157"/>
        <v>#N/A</v>
      </c>
      <c r="V708" s="44" t="e">
        <f t="shared" ca="1" si="158"/>
        <v>#N/A</v>
      </c>
    </row>
    <row r="709" spans="2:22">
      <c r="B709" s="38" t="e">
        <f t="shared" ca="1" si="151"/>
        <v>#N/A</v>
      </c>
      <c r="C709" s="77" t="e">
        <f t="shared" ca="1" si="153"/>
        <v>#N/A</v>
      </c>
      <c r="D709" s="78" t="e">
        <f ca="1">+IF(AND(B709&lt;$G$7),VLOOKUP($B$1,Inventory!$A$1:$BC$500,35,FALSE),IF(AND(B709=$G$7,pmt_timing="End"),VLOOKUP($B$1,Inventory!$A$1:$BC$500,35,FALSE),0))</f>
        <v>#N/A</v>
      </c>
      <c r="E709" s="78">
        <v>0</v>
      </c>
      <c r="F709" s="78">
        <v>0</v>
      </c>
      <c r="G709" s="78">
        <v>0</v>
      </c>
      <c r="H709" s="78">
        <v>0</v>
      </c>
      <c r="I709" s="78">
        <v>0</v>
      </c>
      <c r="J709" s="78">
        <v>0</v>
      </c>
      <c r="K709" s="78">
        <v>0</v>
      </c>
      <c r="L709" s="36" t="e">
        <f t="shared" ca="1" si="154"/>
        <v>#N/A</v>
      </c>
      <c r="M709" s="37" t="e">
        <f t="shared" ca="1" si="155"/>
        <v>#N/A</v>
      </c>
      <c r="N709" s="37" t="e">
        <f t="shared" ca="1" si="149"/>
        <v>#N/A</v>
      </c>
      <c r="P709" s="35" t="e">
        <f t="shared" ca="1" si="152"/>
        <v>#N/A</v>
      </c>
      <c r="Q709" s="59" t="e">
        <f t="shared" ca="1" si="150"/>
        <v>#N/A</v>
      </c>
      <c r="R709" s="44" t="e">
        <f t="shared" ca="1" si="156"/>
        <v>#N/A</v>
      </c>
      <c r="S709" s="37" t="e">
        <f ca="1">IF(P709="","",IF(P709="Total",SUM($S$19:S708),VLOOKUP($P709,$B$12:$L773,11,FALSE)))</f>
        <v>#N/A</v>
      </c>
      <c r="T709" s="44" t="e">
        <f ca="1">IF(payfreq="Annually",IF(P709="","",IF(P709="Total",SUM($T$19:T708),Adj_Rate*$R709)),IF(payfreq="Semiannually",IF(P709="","",IF(P709="Total",SUM($T$19:T708),Adj_Rate/2*$R709)),IF(payfreq="Quarterly",IF(P709="","",IF(P709="Total",SUM($T$19:T708),Adj_Rate/4*$R709)),IF(payfreq="Monthly",IF(P709="","",IF(P709="Total",SUM($T$19:T708),Adj_Rate/12*$R709)),""))))</f>
        <v>#N/A</v>
      </c>
      <c r="U709" s="37" t="e">
        <f t="shared" ca="1" si="157"/>
        <v>#N/A</v>
      </c>
      <c r="V709" s="44" t="e">
        <f t="shared" ca="1" si="158"/>
        <v>#N/A</v>
      </c>
    </row>
    <row r="710" spans="2:22">
      <c r="B710" s="38" t="e">
        <f t="shared" ca="1" si="151"/>
        <v>#N/A</v>
      </c>
      <c r="C710" s="77" t="e">
        <f t="shared" ca="1" si="153"/>
        <v>#N/A</v>
      </c>
      <c r="D710" s="78" t="e">
        <f ca="1">+IF(AND(B710&lt;$G$7),VLOOKUP($B$1,Inventory!$A$1:$BC$500,35,FALSE),IF(AND(B710=$G$7,pmt_timing="End"),VLOOKUP($B$1,Inventory!$A$1:$BC$500,35,FALSE),0))</f>
        <v>#N/A</v>
      </c>
      <c r="E710" s="78">
        <v>0</v>
      </c>
      <c r="F710" s="78">
        <v>0</v>
      </c>
      <c r="G710" s="78">
        <v>0</v>
      </c>
      <c r="H710" s="78">
        <v>0</v>
      </c>
      <c r="I710" s="78">
        <v>0</v>
      </c>
      <c r="J710" s="78">
        <v>0</v>
      </c>
      <c r="K710" s="78">
        <v>0</v>
      </c>
      <c r="L710" s="36" t="e">
        <f t="shared" ca="1" si="154"/>
        <v>#N/A</v>
      </c>
      <c r="M710" s="37" t="e">
        <f t="shared" ca="1" si="155"/>
        <v>#N/A</v>
      </c>
      <c r="N710" s="37" t="e">
        <f t="shared" ca="1" si="149"/>
        <v>#N/A</v>
      </c>
      <c r="P710" s="35" t="e">
        <f t="shared" ca="1" si="152"/>
        <v>#N/A</v>
      </c>
      <c r="Q710" s="59" t="e">
        <f t="shared" ca="1" si="150"/>
        <v>#N/A</v>
      </c>
      <c r="R710" s="44" t="e">
        <f t="shared" ca="1" si="156"/>
        <v>#N/A</v>
      </c>
      <c r="S710" s="37" t="e">
        <f ca="1">IF(P710="","",IF(P710="Total",SUM($S$19:S709),VLOOKUP($P710,$B$12:$L774,11,FALSE)))</f>
        <v>#N/A</v>
      </c>
      <c r="T710" s="44" t="e">
        <f ca="1">IF(payfreq="Annually",IF(P710="","",IF(P710="Total",SUM($T$19:T709),Adj_Rate*$R710)),IF(payfreq="Semiannually",IF(P710="","",IF(P710="Total",SUM($T$19:T709),Adj_Rate/2*$R710)),IF(payfreq="Quarterly",IF(P710="","",IF(P710="Total",SUM($T$19:T709),Adj_Rate/4*$R710)),IF(payfreq="Monthly",IF(P710="","",IF(P710="Total",SUM($T$19:T709),Adj_Rate/12*$R710)),""))))</f>
        <v>#N/A</v>
      </c>
      <c r="U710" s="37" t="e">
        <f t="shared" ca="1" si="157"/>
        <v>#N/A</v>
      </c>
      <c r="V710" s="44" t="e">
        <f t="shared" ca="1" si="158"/>
        <v>#N/A</v>
      </c>
    </row>
    <row r="711" spans="2:22">
      <c r="B711" s="38" t="e">
        <f t="shared" ca="1" si="151"/>
        <v>#N/A</v>
      </c>
      <c r="C711" s="77" t="e">
        <f t="shared" ca="1" si="153"/>
        <v>#N/A</v>
      </c>
      <c r="D711" s="78" t="e">
        <f ca="1">+IF(AND(B711&lt;$G$7),VLOOKUP($B$1,Inventory!$A$1:$BC$500,35,FALSE),IF(AND(B711=$G$7,pmt_timing="End"),VLOOKUP($B$1,Inventory!$A$1:$BC$500,35,FALSE),0))</f>
        <v>#N/A</v>
      </c>
      <c r="E711" s="78">
        <v>0</v>
      </c>
      <c r="F711" s="78">
        <v>0</v>
      </c>
      <c r="G711" s="78">
        <v>0</v>
      </c>
      <c r="H711" s="78">
        <v>0</v>
      </c>
      <c r="I711" s="78">
        <v>0</v>
      </c>
      <c r="J711" s="78">
        <v>0</v>
      </c>
      <c r="K711" s="78">
        <v>0</v>
      </c>
      <c r="L711" s="36" t="e">
        <f t="shared" ca="1" si="154"/>
        <v>#N/A</v>
      </c>
      <c r="M711" s="37" t="e">
        <f t="shared" ca="1" si="155"/>
        <v>#N/A</v>
      </c>
      <c r="N711" s="37" t="e">
        <f t="shared" ca="1" si="149"/>
        <v>#N/A</v>
      </c>
      <c r="P711" s="35" t="e">
        <f t="shared" ca="1" si="152"/>
        <v>#N/A</v>
      </c>
      <c r="Q711" s="59" t="e">
        <f t="shared" ca="1" si="150"/>
        <v>#N/A</v>
      </c>
      <c r="R711" s="44" t="e">
        <f t="shared" ca="1" si="156"/>
        <v>#N/A</v>
      </c>
      <c r="S711" s="37" t="e">
        <f ca="1">IF(P711="","",IF(P711="Total",SUM($S$19:S710),VLOOKUP($P711,$B$12:$L775,11,FALSE)))</f>
        <v>#N/A</v>
      </c>
      <c r="T711" s="44" t="e">
        <f ca="1">IF(payfreq="Annually",IF(P711="","",IF(P711="Total",SUM($T$19:T710),Adj_Rate*$R711)),IF(payfreq="Semiannually",IF(P711="","",IF(P711="Total",SUM($T$19:T710),Adj_Rate/2*$R711)),IF(payfreq="Quarterly",IF(P711="","",IF(P711="Total",SUM($T$19:T710),Adj_Rate/4*$R711)),IF(payfreq="Monthly",IF(P711="","",IF(P711="Total",SUM($T$19:T710),Adj_Rate/12*$R711)),""))))</f>
        <v>#N/A</v>
      </c>
      <c r="U711" s="37" t="e">
        <f t="shared" ca="1" si="157"/>
        <v>#N/A</v>
      </c>
      <c r="V711" s="44" t="e">
        <f t="shared" ca="1" si="158"/>
        <v>#N/A</v>
      </c>
    </row>
    <row r="712" spans="2:22">
      <c r="B712" s="38" t="e">
        <f t="shared" ca="1" si="151"/>
        <v>#N/A</v>
      </c>
      <c r="C712" s="77" t="e">
        <f t="shared" ca="1" si="153"/>
        <v>#N/A</v>
      </c>
      <c r="D712" s="78" t="e">
        <f ca="1">+IF(AND(B712&lt;$G$7),VLOOKUP($B$1,Inventory!$A$1:$BC$500,35,FALSE),IF(AND(B712=$G$7,pmt_timing="End"),VLOOKUP($B$1,Inventory!$A$1:$BC$500,35,FALSE),0))</f>
        <v>#N/A</v>
      </c>
      <c r="E712" s="78">
        <v>0</v>
      </c>
      <c r="F712" s="78">
        <v>0</v>
      </c>
      <c r="G712" s="78">
        <v>0</v>
      </c>
      <c r="H712" s="78">
        <v>0</v>
      </c>
      <c r="I712" s="78">
        <v>0</v>
      </c>
      <c r="J712" s="78">
        <v>0</v>
      </c>
      <c r="K712" s="78">
        <v>0</v>
      </c>
      <c r="L712" s="36" t="e">
        <f t="shared" ca="1" si="154"/>
        <v>#N/A</v>
      </c>
      <c r="M712" s="37" t="e">
        <f t="shared" ca="1" si="155"/>
        <v>#N/A</v>
      </c>
      <c r="N712" s="37" t="e">
        <f t="shared" ca="1" si="149"/>
        <v>#N/A</v>
      </c>
      <c r="P712" s="35" t="e">
        <f t="shared" ca="1" si="152"/>
        <v>#N/A</v>
      </c>
      <c r="Q712" s="59" t="e">
        <f t="shared" ca="1" si="150"/>
        <v>#N/A</v>
      </c>
      <c r="R712" s="44" t="e">
        <f t="shared" ca="1" si="156"/>
        <v>#N/A</v>
      </c>
      <c r="S712" s="37" t="e">
        <f ca="1">IF(P712="","",IF(P712="Total",SUM($S$19:S711),VLOOKUP($P712,$B$12:$L776,11,FALSE)))</f>
        <v>#N/A</v>
      </c>
      <c r="T712" s="44" t="e">
        <f ca="1">IF(payfreq="Annually",IF(P712="","",IF(P712="Total",SUM($T$19:T711),Adj_Rate*$R712)),IF(payfreq="Semiannually",IF(P712="","",IF(P712="Total",SUM($T$19:T711),Adj_Rate/2*$R712)),IF(payfreq="Quarterly",IF(P712="","",IF(P712="Total",SUM($T$19:T711),Adj_Rate/4*$R712)),IF(payfreq="Monthly",IF(P712="","",IF(P712="Total",SUM($T$19:T711),Adj_Rate/12*$R712)),""))))</f>
        <v>#N/A</v>
      </c>
      <c r="U712" s="37" t="e">
        <f t="shared" ca="1" si="157"/>
        <v>#N/A</v>
      </c>
      <c r="V712" s="44" t="e">
        <f t="shared" ca="1" si="158"/>
        <v>#N/A</v>
      </c>
    </row>
    <row r="713" spans="2:22">
      <c r="B713" s="38" t="e">
        <f t="shared" ca="1" si="151"/>
        <v>#N/A</v>
      </c>
      <c r="C713" s="77" t="e">
        <f t="shared" ca="1" si="153"/>
        <v>#N/A</v>
      </c>
      <c r="D713" s="78" t="e">
        <f ca="1">+IF(AND(B713&lt;$G$7),VLOOKUP($B$1,Inventory!$A$1:$BC$500,35,FALSE),IF(AND(B713=$G$7,pmt_timing="End"),VLOOKUP($B$1,Inventory!$A$1:$BC$500,35,FALSE),0))</f>
        <v>#N/A</v>
      </c>
      <c r="E713" s="78">
        <v>0</v>
      </c>
      <c r="F713" s="78">
        <v>0</v>
      </c>
      <c r="G713" s="78">
        <v>0</v>
      </c>
      <c r="H713" s="78">
        <v>0</v>
      </c>
      <c r="I713" s="78">
        <v>0</v>
      </c>
      <c r="J713" s="78">
        <v>0</v>
      </c>
      <c r="K713" s="78">
        <v>0</v>
      </c>
      <c r="L713" s="36" t="e">
        <f t="shared" ca="1" si="154"/>
        <v>#N/A</v>
      </c>
      <c r="M713" s="37" t="e">
        <f t="shared" ca="1" si="155"/>
        <v>#N/A</v>
      </c>
      <c r="N713" s="37" t="e">
        <f t="shared" ca="1" si="149"/>
        <v>#N/A</v>
      </c>
      <c r="P713" s="35" t="e">
        <f t="shared" ca="1" si="152"/>
        <v>#N/A</v>
      </c>
      <c r="Q713" s="59" t="e">
        <f t="shared" ca="1" si="150"/>
        <v>#N/A</v>
      </c>
      <c r="R713" s="44" t="e">
        <f t="shared" ca="1" si="156"/>
        <v>#N/A</v>
      </c>
      <c r="S713" s="37" t="e">
        <f ca="1">IF(P713="","",IF(P713="Total",SUM($S$19:S712),VLOOKUP($P713,$B$12:$L777,11,FALSE)))</f>
        <v>#N/A</v>
      </c>
      <c r="T713" s="44" t="e">
        <f ca="1">IF(payfreq="Annually",IF(P713="","",IF(P713="Total",SUM($T$19:T712),Adj_Rate*$R713)),IF(payfreq="Semiannually",IF(P713="","",IF(P713="Total",SUM($T$19:T712),Adj_Rate/2*$R713)),IF(payfreq="Quarterly",IF(P713="","",IF(P713="Total",SUM($T$19:T712),Adj_Rate/4*$R713)),IF(payfreq="Monthly",IF(P713="","",IF(P713="Total",SUM($T$19:T712),Adj_Rate/12*$R713)),""))))</f>
        <v>#N/A</v>
      </c>
      <c r="U713" s="37" t="e">
        <f t="shared" ca="1" si="157"/>
        <v>#N/A</v>
      </c>
      <c r="V713" s="44" t="e">
        <f t="shared" ca="1" si="158"/>
        <v>#N/A</v>
      </c>
    </row>
    <row r="714" spans="2:22">
      <c r="B714" s="38" t="e">
        <f t="shared" ca="1" si="151"/>
        <v>#N/A</v>
      </c>
      <c r="C714" s="77" t="e">
        <f t="shared" ca="1" si="153"/>
        <v>#N/A</v>
      </c>
      <c r="D714" s="78" t="e">
        <f ca="1">+IF(AND(B714&lt;$G$7),VLOOKUP($B$1,Inventory!$A$1:$BC$500,35,FALSE),IF(AND(B714=$G$7,pmt_timing="End"),VLOOKUP($B$1,Inventory!$A$1:$BC$500,35,FALSE),0))</f>
        <v>#N/A</v>
      </c>
      <c r="E714" s="78">
        <v>0</v>
      </c>
      <c r="F714" s="78">
        <v>0</v>
      </c>
      <c r="G714" s="78">
        <v>0</v>
      </c>
      <c r="H714" s="78">
        <v>0</v>
      </c>
      <c r="I714" s="78">
        <v>0</v>
      </c>
      <c r="J714" s="78">
        <v>0</v>
      </c>
      <c r="K714" s="78">
        <v>0</v>
      </c>
      <c r="L714" s="36" t="e">
        <f t="shared" ca="1" si="154"/>
        <v>#N/A</v>
      </c>
      <c r="M714" s="37" t="e">
        <f t="shared" ca="1" si="155"/>
        <v>#N/A</v>
      </c>
      <c r="N714" s="37" t="e">
        <f t="shared" ca="1" si="149"/>
        <v>#N/A</v>
      </c>
      <c r="P714" s="35" t="e">
        <f t="shared" ca="1" si="152"/>
        <v>#N/A</v>
      </c>
      <c r="Q714" s="59" t="e">
        <f t="shared" ca="1" si="150"/>
        <v>#N/A</v>
      </c>
      <c r="R714" s="44" t="e">
        <f t="shared" ca="1" si="156"/>
        <v>#N/A</v>
      </c>
      <c r="S714" s="37" t="e">
        <f ca="1">IF(P714="","",IF(P714="Total",SUM($S$19:S713),VLOOKUP($P714,$B$12:$L778,11,FALSE)))</f>
        <v>#N/A</v>
      </c>
      <c r="T714" s="44" t="e">
        <f ca="1">IF(payfreq="Annually",IF(P714="","",IF(P714="Total",SUM($T$19:T713),Adj_Rate*$R714)),IF(payfreq="Semiannually",IF(P714="","",IF(P714="Total",SUM($T$19:T713),Adj_Rate/2*$R714)),IF(payfreq="Quarterly",IF(P714="","",IF(P714="Total",SUM($T$19:T713),Adj_Rate/4*$R714)),IF(payfreq="Monthly",IF(P714="","",IF(P714="Total",SUM($T$19:T713),Adj_Rate/12*$R714)),""))))</f>
        <v>#N/A</v>
      </c>
      <c r="U714" s="37" t="e">
        <f t="shared" ca="1" si="157"/>
        <v>#N/A</v>
      </c>
      <c r="V714" s="44" t="e">
        <f t="shared" ca="1" si="158"/>
        <v>#N/A</v>
      </c>
    </row>
    <row r="715" spans="2:22">
      <c r="B715" s="38" t="e">
        <f t="shared" ca="1" si="151"/>
        <v>#N/A</v>
      </c>
      <c r="C715" s="77" t="e">
        <f t="shared" ca="1" si="153"/>
        <v>#N/A</v>
      </c>
      <c r="D715" s="78" t="e">
        <f ca="1">+IF(AND(B715&lt;$G$7),VLOOKUP($B$1,Inventory!$A$1:$BC$500,35,FALSE),IF(AND(B715=$G$7,pmt_timing="End"),VLOOKUP($B$1,Inventory!$A$1:$BC$500,35,FALSE),0))</f>
        <v>#N/A</v>
      </c>
      <c r="E715" s="78">
        <v>0</v>
      </c>
      <c r="F715" s="78">
        <v>0</v>
      </c>
      <c r="G715" s="78">
        <v>0</v>
      </c>
      <c r="H715" s="78">
        <v>0</v>
      </c>
      <c r="I715" s="78">
        <v>0</v>
      </c>
      <c r="J715" s="78">
        <v>0</v>
      </c>
      <c r="K715" s="78">
        <v>0</v>
      </c>
      <c r="L715" s="36" t="e">
        <f t="shared" ca="1" si="154"/>
        <v>#N/A</v>
      </c>
      <c r="M715" s="37" t="e">
        <f t="shared" ca="1" si="155"/>
        <v>#N/A</v>
      </c>
      <c r="N715" s="37" t="e">
        <f t="shared" ca="1" si="149"/>
        <v>#N/A</v>
      </c>
      <c r="P715" s="35" t="e">
        <f t="shared" ca="1" si="152"/>
        <v>#N/A</v>
      </c>
      <c r="Q715" s="59" t="e">
        <f t="shared" ca="1" si="150"/>
        <v>#N/A</v>
      </c>
      <c r="R715" s="44" t="e">
        <f t="shared" ca="1" si="156"/>
        <v>#N/A</v>
      </c>
      <c r="S715" s="37" t="e">
        <f ca="1">IF(P715="","",IF(P715="Total",SUM($S$19:S714),VLOOKUP($P715,$B$12:$L779,11,FALSE)))</f>
        <v>#N/A</v>
      </c>
      <c r="T715" s="44" t="e">
        <f ca="1">IF(payfreq="Annually",IF(P715="","",IF(P715="Total",SUM($T$19:T714),Adj_Rate*$R715)),IF(payfreq="Semiannually",IF(P715="","",IF(P715="Total",SUM($T$19:T714),Adj_Rate/2*$R715)),IF(payfreq="Quarterly",IF(P715="","",IF(P715="Total",SUM($T$19:T714),Adj_Rate/4*$R715)),IF(payfreq="Monthly",IF(P715="","",IF(P715="Total",SUM($T$19:T714),Adj_Rate/12*$R715)),""))))</f>
        <v>#N/A</v>
      </c>
      <c r="U715" s="37" t="e">
        <f t="shared" ca="1" si="157"/>
        <v>#N/A</v>
      </c>
      <c r="V715" s="44" t="e">
        <f t="shared" ca="1" si="158"/>
        <v>#N/A</v>
      </c>
    </row>
    <row r="716" spans="2:22">
      <c r="B716" s="38" t="e">
        <f t="shared" ca="1" si="151"/>
        <v>#N/A</v>
      </c>
      <c r="C716" s="77" t="e">
        <f t="shared" ca="1" si="153"/>
        <v>#N/A</v>
      </c>
      <c r="D716" s="78" t="e">
        <f ca="1">+IF(AND(B716&lt;$G$7),VLOOKUP($B$1,Inventory!$A$1:$BC$500,35,FALSE),IF(AND(B716=$G$7,pmt_timing="End"),VLOOKUP($B$1,Inventory!$A$1:$BC$500,35,FALSE),0))</f>
        <v>#N/A</v>
      </c>
      <c r="E716" s="78">
        <v>0</v>
      </c>
      <c r="F716" s="78">
        <v>0</v>
      </c>
      <c r="G716" s="78">
        <v>0</v>
      </c>
      <c r="H716" s="78">
        <v>0</v>
      </c>
      <c r="I716" s="78">
        <v>0</v>
      </c>
      <c r="J716" s="78">
        <v>0</v>
      </c>
      <c r="K716" s="78">
        <v>0</v>
      </c>
      <c r="L716" s="36" t="e">
        <f t="shared" ca="1" si="154"/>
        <v>#N/A</v>
      </c>
      <c r="M716" s="37" t="e">
        <f t="shared" ca="1" si="155"/>
        <v>#N/A</v>
      </c>
      <c r="N716" s="37" t="e">
        <f t="shared" ca="1" si="149"/>
        <v>#N/A</v>
      </c>
      <c r="P716" s="35" t="e">
        <f t="shared" ca="1" si="152"/>
        <v>#N/A</v>
      </c>
      <c r="Q716" s="59" t="e">
        <f t="shared" ca="1" si="150"/>
        <v>#N/A</v>
      </c>
      <c r="R716" s="44" t="e">
        <f t="shared" ca="1" si="156"/>
        <v>#N/A</v>
      </c>
      <c r="S716" s="37" t="e">
        <f ca="1">IF(P716="","",IF(P716="Total",SUM($S$19:S715),VLOOKUP($P716,$B$12:$L780,11,FALSE)))</f>
        <v>#N/A</v>
      </c>
      <c r="T716" s="44" t="e">
        <f ca="1">IF(payfreq="Annually",IF(P716="","",IF(P716="Total",SUM($T$19:T715),Adj_Rate*$R716)),IF(payfreq="Semiannually",IF(P716="","",IF(P716="Total",SUM($T$19:T715),Adj_Rate/2*$R716)),IF(payfreq="Quarterly",IF(P716="","",IF(P716="Total",SUM($T$19:T715),Adj_Rate/4*$R716)),IF(payfreq="Monthly",IF(P716="","",IF(P716="Total",SUM($T$19:T715),Adj_Rate/12*$R716)),""))))</f>
        <v>#N/A</v>
      </c>
      <c r="U716" s="37" t="e">
        <f t="shared" ca="1" si="157"/>
        <v>#N/A</v>
      </c>
      <c r="V716" s="44" t="e">
        <f t="shared" ca="1" si="158"/>
        <v>#N/A</v>
      </c>
    </row>
    <row r="717" spans="2:22">
      <c r="B717" s="38" t="e">
        <f t="shared" ca="1" si="151"/>
        <v>#N/A</v>
      </c>
      <c r="C717" s="77" t="e">
        <f t="shared" ca="1" si="153"/>
        <v>#N/A</v>
      </c>
      <c r="D717" s="78" t="e">
        <f ca="1">+IF(AND(B717&lt;$G$7),VLOOKUP($B$1,Inventory!$A$1:$BC$500,35,FALSE),IF(AND(B717=$G$7,pmt_timing="End"),VLOOKUP($B$1,Inventory!$A$1:$BC$500,35,FALSE),0))</f>
        <v>#N/A</v>
      </c>
      <c r="E717" s="78">
        <v>0</v>
      </c>
      <c r="F717" s="78">
        <v>0</v>
      </c>
      <c r="G717" s="78">
        <v>0</v>
      </c>
      <c r="H717" s="78">
        <v>0</v>
      </c>
      <c r="I717" s="78">
        <v>0</v>
      </c>
      <c r="J717" s="78">
        <v>0</v>
      </c>
      <c r="K717" s="78">
        <v>0</v>
      </c>
      <c r="L717" s="36" t="e">
        <f t="shared" ca="1" si="154"/>
        <v>#N/A</v>
      </c>
      <c r="M717" s="37" t="e">
        <f t="shared" ca="1" si="155"/>
        <v>#N/A</v>
      </c>
      <c r="N717" s="37" t="e">
        <f t="shared" ca="1" si="149"/>
        <v>#N/A</v>
      </c>
      <c r="P717" s="35" t="e">
        <f t="shared" ca="1" si="152"/>
        <v>#N/A</v>
      </c>
      <c r="Q717" s="59" t="e">
        <f t="shared" ca="1" si="150"/>
        <v>#N/A</v>
      </c>
      <c r="R717" s="44" t="e">
        <f t="shared" ca="1" si="156"/>
        <v>#N/A</v>
      </c>
      <c r="S717" s="37" t="e">
        <f ca="1">IF(P717="","",IF(P717="Total",SUM($S$19:S716),VLOOKUP($P717,$B$12:$L781,11,FALSE)))</f>
        <v>#N/A</v>
      </c>
      <c r="T717" s="44" t="e">
        <f ca="1">IF(payfreq="Annually",IF(P717="","",IF(P717="Total",SUM($T$19:T716),Adj_Rate*$R717)),IF(payfreq="Semiannually",IF(P717="","",IF(P717="Total",SUM($T$19:T716),Adj_Rate/2*$R717)),IF(payfreq="Quarterly",IF(P717="","",IF(P717="Total",SUM($T$19:T716),Adj_Rate/4*$R717)),IF(payfreq="Monthly",IF(P717="","",IF(P717="Total",SUM($T$19:T716),Adj_Rate/12*$R717)),""))))</f>
        <v>#N/A</v>
      </c>
      <c r="U717" s="37" t="e">
        <f t="shared" ca="1" si="157"/>
        <v>#N/A</v>
      </c>
      <c r="V717" s="44" t="e">
        <f t="shared" ca="1" si="158"/>
        <v>#N/A</v>
      </c>
    </row>
    <row r="718" spans="2:22">
      <c r="B718" s="38" t="e">
        <f t="shared" ca="1" si="151"/>
        <v>#N/A</v>
      </c>
      <c r="C718" s="77" t="e">
        <f t="shared" ca="1" si="153"/>
        <v>#N/A</v>
      </c>
      <c r="D718" s="78" t="e">
        <f ca="1">+IF(AND(B718&lt;$G$7),VLOOKUP($B$1,Inventory!$A$1:$BC$500,35,FALSE),IF(AND(B718=$G$7,pmt_timing="End"),VLOOKUP($B$1,Inventory!$A$1:$BC$500,35,FALSE),0))</f>
        <v>#N/A</v>
      </c>
      <c r="E718" s="78">
        <v>0</v>
      </c>
      <c r="F718" s="78">
        <v>0</v>
      </c>
      <c r="G718" s="78">
        <v>0</v>
      </c>
      <c r="H718" s="78">
        <v>0</v>
      </c>
      <c r="I718" s="78">
        <v>0</v>
      </c>
      <c r="J718" s="78">
        <v>0</v>
      </c>
      <c r="K718" s="78">
        <v>0</v>
      </c>
      <c r="L718" s="36" t="e">
        <f t="shared" ca="1" si="154"/>
        <v>#N/A</v>
      </c>
      <c r="M718" s="37" t="e">
        <f t="shared" ca="1" si="155"/>
        <v>#N/A</v>
      </c>
      <c r="N718" s="37" t="e">
        <f t="shared" ca="1" si="149"/>
        <v>#N/A</v>
      </c>
      <c r="P718" s="35" t="e">
        <f t="shared" ca="1" si="152"/>
        <v>#N/A</v>
      </c>
      <c r="Q718" s="59" t="e">
        <f t="shared" ca="1" si="150"/>
        <v>#N/A</v>
      </c>
      <c r="R718" s="44" t="e">
        <f t="shared" ca="1" si="156"/>
        <v>#N/A</v>
      </c>
      <c r="S718" s="37" t="e">
        <f ca="1">IF(P718="","",IF(P718="Total",SUM($S$19:S717),VLOOKUP($P718,$B$12:$L782,11,FALSE)))</f>
        <v>#N/A</v>
      </c>
      <c r="T718" s="44" t="e">
        <f ca="1">IF(payfreq="Annually",IF(P718="","",IF(P718="Total",SUM($T$19:T717),Adj_Rate*$R718)),IF(payfreq="Semiannually",IF(P718="","",IF(P718="Total",SUM($T$19:T717),Adj_Rate/2*$R718)),IF(payfreq="Quarterly",IF(P718="","",IF(P718="Total",SUM($T$19:T717),Adj_Rate/4*$R718)),IF(payfreq="Monthly",IF(P718="","",IF(P718="Total",SUM($T$19:T717),Adj_Rate/12*$R718)),""))))</f>
        <v>#N/A</v>
      </c>
      <c r="U718" s="37" t="e">
        <f t="shared" ca="1" si="157"/>
        <v>#N/A</v>
      </c>
      <c r="V718" s="44" t="e">
        <f t="shared" ca="1" si="158"/>
        <v>#N/A</v>
      </c>
    </row>
    <row r="719" spans="2:22">
      <c r="B719" s="38" t="e">
        <f t="shared" ca="1" si="151"/>
        <v>#N/A</v>
      </c>
      <c r="C719" s="77" t="e">
        <f t="shared" ca="1" si="153"/>
        <v>#N/A</v>
      </c>
      <c r="D719" s="78" t="e">
        <f ca="1">+IF(AND(B719&lt;$G$7),VLOOKUP($B$1,Inventory!$A$1:$BC$500,35,FALSE),IF(AND(B719=$G$7,pmt_timing="End"),VLOOKUP($B$1,Inventory!$A$1:$BC$500,35,FALSE),0))</f>
        <v>#N/A</v>
      </c>
      <c r="E719" s="78">
        <v>0</v>
      </c>
      <c r="F719" s="78">
        <v>0</v>
      </c>
      <c r="G719" s="78">
        <v>0</v>
      </c>
      <c r="H719" s="78">
        <v>0</v>
      </c>
      <c r="I719" s="78">
        <v>0</v>
      </c>
      <c r="J719" s="78">
        <v>0</v>
      </c>
      <c r="K719" s="78">
        <v>0</v>
      </c>
      <c r="L719" s="36" t="e">
        <f t="shared" ca="1" si="154"/>
        <v>#N/A</v>
      </c>
      <c r="M719" s="37" t="e">
        <f t="shared" ca="1" si="155"/>
        <v>#N/A</v>
      </c>
      <c r="N719" s="37" t="e">
        <f t="shared" ca="1" si="149"/>
        <v>#N/A</v>
      </c>
      <c r="P719" s="35" t="e">
        <f t="shared" ca="1" si="152"/>
        <v>#N/A</v>
      </c>
      <c r="Q719" s="59" t="e">
        <f t="shared" ca="1" si="150"/>
        <v>#N/A</v>
      </c>
      <c r="R719" s="44" t="e">
        <f t="shared" ca="1" si="156"/>
        <v>#N/A</v>
      </c>
      <c r="S719" s="37" t="e">
        <f ca="1">IF(P719="","",IF(P719="Total",SUM($S$19:S718),VLOOKUP($P719,$B$12:$L783,11,FALSE)))</f>
        <v>#N/A</v>
      </c>
      <c r="T719" s="44" t="e">
        <f ca="1">IF(payfreq="Annually",IF(P719="","",IF(P719="Total",SUM($T$19:T718),Adj_Rate*$R719)),IF(payfreq="Semiannually",IF(P719="","",IF(P719="Total",SUM($T$19:T718),Adj_Rate/2*$R719)),IF(payfreq="Quarterly",IF(P719="","",IF(P719="Total",SUM($T$19:T718),Adj_Rate/4*$R719)),IF(payfreq="Monthly",IF(P719="","",IF(P719="Total",SUM($T$19:T718),Adj_Rate/12*$R719)),""))))</f>
        <v>#N/A</v>
      </c>
      <c r="U719" s="37" t="e">
        <f t="shared" ca="1" si="157"/>
        <v>#N/A</v>
      </c>
      <c r="V719" s="44" t="e">
        <f t="shared" ca="1" si="158"/>
        <v>#N/A</v>
      </c>
    </row>
    <row r="720" spans="2:22">
      <c r="B720" s="38" t="e">
        <f t="shared" ca="1" si="151"/>
        <v>#N/A</v>
      </c>
      <c r="C720" s="77" t="e">
        <f t="shared" ca="1" si="153"/>
        <v>#N/A</v>
      </c>
      <c r="D720" s="78" t="e">
        <f ca="1">+IF(AND(B720&lt;$G$7),VLOOKUP($B$1,Inventory!$A$1:$BC$500,35,FALSE),IF(AND(B720=$G$7,pmt_timing="End"),VLOOKUP($B$1,Inventory!$A$1:$BC$500,35,FALSE),0))</f>
        <v>#N/A</v>
      </c>
      <c r="E720" s="78">
        <v>0</v>
      </c>
      <c r="F720" s="78">
        <v>0</v>
      </c>
      <c r="G720" s="78">
        <v>0</v>
      </c>
      <c r="H720" s="78">
        <v>0</v>
      </c>
      <c r="I720" s="78">
        <v>0</v>
      </c>
      <c r="J720" s="78">
        <v>0</v>
      </c>
      <c r="K720" s="78">
        <v>0</v>
      </c>
      <c r="L720" s="36" t="e">
        <f t="shared" ca="1" si="154"/>
        <v>#N/A</v>
      </c>
      <c r="M720" s="37" t="e">
        <f t="shared" ca="1" si="155"/>
        <v>#N/A</v>
      </c>
      <c r="N720" s="37" t="e">
        <f t="shared" ca="1" si="149"/>
        <v>#N/A</v>
      </c>
      <c r="P720" s="35" t="e">
        <f t="shared" ca="1" si="152"/>
        <v>#N/A</v>
      </c>
      <c r="Q720" s="59" t="e">
        <f t="shared" ca="1" si="150"/>
        <v>#N/A</v>
      </c>
      <c r="R720" s="44" t="e">
        <f t="shared" ca="1" si="156"/>
        <v>#N/A</v>
      </c>
      <c r="S720" s="37" t="e">
        <f ca="1">IF(P720="","",IF(P720="Total",SUM($S$19:S719),VLOOKUP($P720,$B$12:$L784,11,FALSE)))</f>
        <v>#N/A</v>
      </c>
      <c r="T720" s="44" t="e">
        <f ca="1">IF(payfreq="Annually",IF(P720="","",IF(P720="Total",SUM($T$19:T719),Adj_Rate*$R720)),IF(payfreq="Semiannually",IF(P720="","",IF(P720="Total",SUM($T$19:T719),Adj_Rate/2*$R720)),IF(payfreq="Quarterly",IF(P720="","",IF(P720="Total",SUM($T$19:T719),Adj_Rate/4*$R720)),IF(payfreq="Monthly",IF(P720="","",IF(P720="Total",SUM($T$19:T719),Adj_Rate/12*$R720)),""))))</f>
        <v>#N/A</v>
      </c>
      <c r="U720" s="37" t="e">
        <f t="shared" ca="1" si="157"/>
        <v>#N/A</v>
      </c>
      <c r="V720" s="44" t="e">
        <f t="shared" ca="1" si="158"/>
        <v>#N/A</v>
      </c>
    </row>
    <row r="721" spans="2:22">
      <c r="B721" s="38" t="e">
        <f t="shared" ca="1" si="151"/>
        <v>#N/A</v>
      </c>
      <c r="C721" s="77" t="e">
        <f t="shared" ca="1" si="153"/>
        <v>#N/A</v>
      </c>
      <c r="D721" s="78" t="e">
        <f ca="1">+IF(AND(B721&lt;$G$7),VLOOKUP($B$1,Inventory!$A$1:$BC$500,35,FALSE),IF(AND(B721=$G$7,pmt_timing="End"),VLOOKUP($B$1,Inventory!$A$1:$BC$500,35,FALSE),0))</f>
        <v>#N/A</v>
      </c>
      <c r="E721" s="78">
        <v>0</v>
      </c>
      <c r="F721" s="78">
        <v>0</v>
      </c>
      <c r="G721" s="78">
        <v>0</v>
      </c>
      <c r="H721" s="78">
        <v>0</v>
      </c>
      <c r="I721" s="78">
        <v>0</v>
      </c>
      <c r="J721" s="78">
        <v>0</v>
      </c>
      <c r="K721" s="78">
        <v>0</v>
      </c>
      <c r="L721" s="36" t="e">
        <f t="shared" ca="1" si="154"/>
        <v>#N/A</v>
      </c>
      <c r="M721" s="37" t="e">
        <f t="shared" ca="1" si="155"/>
        <v>#N/A</v>
      </c>
      <c r="N721" s="37" t="e">
        <f t="shared" ca="1" si="149"/>
        <v>#N/A</v>
      </c>
      <c r="P721" s="35" t="e">
        <f t="shared" ca="1" si="152"/>
        <v>#N/A</v>
      </c>
      <c r="Q721" s="59" t="e">
        <f t="shared" ca="1" si="150"/>
        <v>#N/A</v>
      </c>
      <c r="R721" s="44" t="e">
        <f t="shared" ca="1" si="156"/>
        <v>#N/A</v>
      </c>
      <c r="S721" s="37" t="e">
        <f ca="1">IF(P721="","",IF(P721="Total",SUM($S$19:S720),VLOOKUP($P721,$B$12:$L785,11,FALSE)))</f>
        <v>#N/A</v>
      </c>
      <c r="T721" s="44" t="e">
        <f ca="1">IF(payfreq="Annually",IF(P721="","",IF(P721="Total",SUM($T$19:T720),Adj_Rate*$R721)),IF(payfreq="Semiannually",IF(P721="","",IF(P721="Total",SUM($T$19:T720),Adj_Rate/2*$R721)),IF(payfreq="Quarterly",IF(P721="","",IF(P721="Total",SUM($T$19:T720),Adj_Rate/4*$R721)),IF(payfreq="Monthly",IF(P721="","",IF(P721="Total",SUM($T$19:T720),Adj_Rate/12*$R721)),""))))</f>
        <v>#N/A</v>
      </c>
      <c r="U721" s="37" t="e">
        <f t="shared" ca="1" si="157"/>
        <v>#N/A</v>
      </c>
      <c r="V721" s="44" t="e">
        <f t="shared" ca="1" si="158"/>
        <v>#N/A</v>
      </c>
    </row>
    <row r="722" spans="2:22">
      <c r="B722" s="38" t="e">
        <f t="shared" ca="1" si="151"/>
        <v>#N/A</v>
      </c>
      <c r="C722" s="77" t="e">
        <f t="shared" ca="1" si="153"/>
        <v>#N/A</v>
      </c>
      <c r="D722" s="78" t="e">
        <f ca="1">+IF(AND(B722&lt;$G$7),VLOOKUP($B$1,Inventory!$A$1:$BC$500,35,FALSE),IF(AND(B722=$G$7,pmt_timing="End"),VLOOKUP($B$1,Inventory!$A$1:$BC$500,35,FALSE),0))</f>
        <v>#N/A</v>
      </c>
      <c r="E722" s="78">
        <v>0</v>
      </c>
      <c r="F722" s="78">
        <v>0</v>
      </c>
      <c r="G722" s="78">
        <v>0</v>
      </c>
      <c r="H722" s="78">
        <v>0</v>
      </c>
      <c r="I722" s="78">
        <v>0</v>
      </c>
      <c r="J722" s="78">
        <v>0</v>
      </c>
      <c r="K722" s="78">
        <v>0</v>
      </c>
      <c r="L722" s="36" t="e">
        <f t="shared" ca="1" si="154"/>
        <v>#N/A</v>
      </c>
      <c r="M722" s="37" t="e">
        <f t="shared" ca="1" si="155"/>
        <v>#N/A</v>
      </c>
      <c r="N722" s="37" t="e">
        <f t="shared" ca="1" si="149"/>
        <v>#N/A</v>
      </c>
      <c r="P722" s="35" t="e">
        <f t="shared" ca="1" si="152"/>
        <v>#N/A</v>
      </c>
      <c r="Q722" s="59" t="e">
        <f t="shared" ca="1" si="150"/>
        <v>#N/A</v>
      </c>
      <c r="R722" s="44" t="e">
        <f t="shared" ca="1" si="156"/>
        <v>#N/A</v>
      </c>
      <c r="S722" s="37" t="e">
        <f ca="1">IF(P722="","",IF(P722="Total",SUM($S$19:S721),VLOOKUP($P722,$B$12:$L786,11,FALSE)))</f>
        <v>#N/A</v>
      </c>
      <c r="T722" s="44" t="e">
        <f ca="1">IF(payfreq="Annually",IF(P722="","",IF(P722="Total",SUM($T$19:T721),Adj_Rate*$R722)),IF(payfreq="Semiannually",IF(P722="","",IF(P722="Total",SUM($T$19:T721),Adj_Rate/2*$R722)),IF(payfreq="Quarterly",IF(P722="","",IF(P722="Total",SUM($T$19:T721),Adj_Rate/4*$R722)),IF(payfreq="Monthly",IF(P722="","",IF(P722="Total",SUM($T$19:T721),Adj_Rate/12*$R722)),""))))</f>
        <v>#N/A</v>
      </c>
      <c r="U722" s="37" t="e">
        <f t="shared" ca="1" si="157"/>
        <v>#N/A</v>
      </c>
      <c r="V722" s="44" t="e">
        <f t="shared" ca="1" si="158"/>
        <v>#N/A</v>
      </c>
    </row>
    <row r="723" spans="2:22">
      <c r="B723" s="38" t="e">
        <f t="shared" ca="1" si="151"/>
        <v>#N/A</v>
      </c>
      <c r="C723" s="77" t="e">
        <f t="shared" ca="1" si="153"/>
        <v>#N/A</v>
      </c>
      <c r="D723" s="78" t="e">
        <f ca="1">+IF(AND(B723&lt;$G$7),VLOOKUP($B$1,Inventory!$A$1:$BC$500,35,FALSE),IF(AND(B723=$G$7,pmt_timing="End"),VLOOKUP($B$1,Inventory!$A$1:$BC$500,35,FALSE),0))</f>
        <v>#N/A</v>
      </c>
      <c r="E723" s="78">
        <v>0</v>
      </c>
      <c r="F723" s="78">
        <v>0</v>
      </c>
      <c r="G723" s="78">
        <v>0</v>
      </c>
      <c r="H723" s="78">
        <v>0</v>
      </c>
      <c r="I723" s="78">
        <v>0</v>
      </c>
      <c r="J723" s="78">
        <v>0</v>
      </c>
      <c r="K723" s="78">
        <v>0</v>
      </c>
      <c r="L723" s="36" t="e">
        <f t="shared" ca="1" si="154"/>
        <v>#N/A</v>
      </c>
      <c r="M723" s="37" t="e">
        <f t="shared" ca="1" si="155"/>
        <v>#N/A</v>
      </c>
      <c r="N723" s="37" t="e">
        <f t="shared" ref="N723:N769" ca="1" si="159">IF(AND(payfreq="Annually",pmt_timing="Beginning",$B723&lt;=term),$L723/(1+Adj_Rate)^($B723),IF(AND(payfreq="Semiannually",pmt_timing="Beginning",$B723&lt;=term),$L723/(1+Adj_Rate/2)^($B723),IF(AND(payfreq="Quarterly",pmt_timing="Beginning",$B723&lt;=term),$L723/(1+Adj_Rate/4)^($B723),IF(AND(payfreq="Monthly",pmt_timing="Beginning",$B723&lt;=term),$L723/(1+Adj_Rate/12)^($B723),""))))</f>
        <v>#N/A</v>
      </c>
      <c r="P723" s="35" t="e">
        <f t="shared" ca="1" si="152"/>
        <v>#N/A</v>
      </c>
      <c r="Q723" s="59" t="e">
        <f t="shared" ca="1" si="150"/>
        <v>#N/A</v>
      </c>
      <c r="R723" s="44" t="e">
        <f t="shared" ca="1" si="156"/>
        <v>#N/A</v>
      </c>
      <c r="S723" s="37" t="e">
        <f ca="1">IF(P723="","",IF(P723="Total",SUM($S$19:S722),VLOOKUP($P723,$B$12:$L787,11,FALSE)))</f>
        <v>#N/A</v>
      </c>
      <c r="T723" s="44" t="e">
        <f ca="1">IF(payfreq="Annually",IF(P723="","",IF(P723="Total",SUM($T$19:T722),Adj_Rate*$R723)),IF(payfreq="Semiannually",IF(P723="","",IF(P723="Total",SUM($T$19:T722),Adj_Rate/2*$R723)),IF(payfreq="Quarterly",IF(P723="","",IF(P723="Total",SUM($T$19:T722),Adj_Rate/4*$R723)),IF(payfreq="Monthly",IF(P723="","",IF(P723="Total",SUM($T$19:T722),Adj_Rate/12*$R723)),""))))</f>
        <v>#N/A</v>
      </c>
      <c r="U723" s="37" t="e">
        <f t="shared" ca="1" si="157"/>
        <v>#N/A</v>
      </c>
      <c r="V723" s="44" t="e">
        <f t="shared" ca="1" si="158"/>
        <v>#N/A</v>
      </c>
    </row>
    <row r="724" spans="2:22">
      <c r="B724" s="38" t="e">
        <f t="shared" ca="1" si="151"/>
        <v>#N/A</v>
      </c>
      <c r="C724" s="77" t="e">
        <f t="shared" ca="1" si="153"/>
        <v>#N/A</v>
      </c>
      <c r="D724" s="78" t="e">
        <f ca="1">+IF(AND(B724&lt;$G$7),VLOOKUP($B$1,Inventory!$A$1:$BC$500,35,FALSE),IF(AND(B724=$G$7,pmt_timing="End"),VLOOKUP($B$1,Inventory!$A$1:$BC$500,35,FALSE),0))</f>
        <v>#N/A</v>
      </c>
      <c r="E724" s="78">
        <v>0</v>
      </c>
      <c r="F724" s="78">
        <v>0</v>
      </c>
      <c r="G724" s="78">
        <v>0</v>
      </c>
      <c r="H724" s="78">
        <v>0</v>
      </c>
      <c r="I724" s="78">
        <v>0</v>
      </c>
      <c r="J724" s="78">
        <v>0</v>
      </c>
      <c r="K724" s="78">
        <v>0</v>
      </c>
      <c r="L724" s="36" t="e">
        <f t="shared" ca="1" si="154"/>
        <v>#N/A</v>
      </c>
      <c r="M724" s="37" t="e">
        <f t="shared" ca="1" si="155"/>
        <v>#N/A</v>
      </c>
      <c r="N724" s="37" t="e">
        <f t="shared" ca="1" si="159"/>
        <v>#N/A</v>
      </c>
      <c r="P724" s="35" t="e">
        <f t="shared" ca="1" si="152"/>
        <v>#N/A</v>
      </c>
      <c r="Q724" s="59" t="e">
        <f t="shared" ref="Q724:Q768" ca="1" si="160">IF(P724="","",IF(P724="total","",IF(payfreq="Annually",DATE(YEAR(Q723)+1,MONTH(Q723),DAY(Q723)),IF(payfreq="Semiannually",DATE(YEAR(Q723),MONTH(Q723)+6,DAY(Q723)),IF(payfreq="Quarterly",DATE(YEAR(Q723),MONTH(Q723)+3,DAY(Q723)),IF(payfreq="Monthly",DATE(YEAR(Q723),MONTH(Q723)+1,DAY(Q723))))))))</f>
        <v>#N/A</v>
      </c>
      <c r="R724" s="44" t="e">
        <f t="shared" ca="1" si="156"/>
        <v>#N/A</v>
      </c>
      <c r="S724" s="37" t="e">
        <f ca="1">IF(P724="","",IF(P724="Total",SUM($S$19:S723),VLOOKUP($P724,$B$12:$L788,11,FALSE)))</f>
        <v>#N/A</v>
      </c>
      <c r="T724" s="44" t="e">
        <f ca="1">IF(payfreq="Annually",IF(P724="","",IF(P724="Total",SUM($T$19:T723),Adj_Rate*$R724)),IF(payfreq="Semiannually",IF(P724="","",IF(P724="Total",SUM($T$19:T723),Adj_Rate/2*$R724)),IF(payfreq="Quarterly",IF(P724="","",IF(P724="Total",SUM($T$19:T723),Adj_Rate/4*$R724)),IF(payfreq="Monthly",IF(P724="","",IF(P724="Total",SUM($T$19:T723),Adj_Rate/12*$R724)),""))))</f>
        <v>#N/A</v>
      </c>
      <c r="U724" s="37" t="e">
        <f t="shared" ca="1" si="157"/>
        <v>#N/A</v>
      </c>
      <c r="V724" s="44" t="e">
        <f t="shared" ca="1" si="158"/>
        <v>#N/A</v>
      </c>
    </row>
    <row r="725" spans="2:22">
      <c r="B725" s="38" t="e">
        <f t="shared" ref="B725:B769" ca="1" si="161">IF(B724&lt;term,B724+1,"")</f>
        <v>#N/A</v>
      </c>
      <c r="C725" s="77" t="e">
        <f t="shared" ca="1" si="153"/>
        <v>#N/A</v>
      </c>
      <c r="D725" s="78" t="e">
        <f ca="1">+IF(AND(B725&lt;$G$7),VLOOKUP($B$1,Inventory!$A$1:$BC$500,35,FALSE),IF(AND(B725=$G$7,pmt_timing="End"),VLOOKUP($B$1,Inventory!$A$1:$BC$500,35,FALSE),0))</f>
        <v>#N/A</v>
      </c>
      <c r="E725" s="78">
        <v>0</v>
      </c>
      <c r="F725" s="78">
        <v>0</v>
      </c>
      <c r="G725" s="78">
        <v>0</v>
      </c>
      <c r="H725" s="78">
        <v>0</v>
      </c>
      <c r="I725" s="78">
        <v>0</v>
      </c>
      <c r="J725" s="78">
        <v>0</v>
      </c>
      <c r="K725" s="78">
        <v>0</v>
      </c>
      <c r="L725" s="36" t="e">
        <f t="shared" ca="1" si="154"/>
        <v>#N/A</v>
      </c>
      <c r="M725" s="37" t="e">
        <f t="shared" ca="1" si="155"/>
        <v>#N/A</v>
      </c>
      <c r="N725" s="37" t="e">
        <f t="shared" ca="1" si="159"/>
        <v>#N/A</v>
      </c>
      <c r="P725" s="35" t="e">
        <f t="shared" ref="P725:P769" ca="1" si="162">IF(P724&lt;term,P724+1,IF(P724=term,"Total",""))</f>
        <v>#N/A</v>
      </c>
      <c r="Q725" s="59" t="e">
        <f t="shared" ca="1" si="160"/>
        <v>#N/A</v>
      </c>
      <c r="R725" s="44" t="e">
        <f t="shared" ca="1" si="156"/>
        <v>#N/A</v>
      </c>
      <c r="S725" s="37" t="e">
        <f ca="1">IF(P725="","",IF(P725="Total",SUM($S$19:S724),VLOOKUP($P725,$B$12:$L789,11,FALSE)))</f>
        <v>#N/A</v>
      </c>
      <c r="T725" s="44" t="e">
        <f ca="1">IF(payfreq="Annually",IF(P725="","",IF(P725="Total",SUM($T$19:T724),Adj_Rate*$R725)),IF(payfreq="Semiannually",IF(P725="","",IF(P725="Total",SUM($T$19:T724),Adj_Rate/2*$R725)),IF(payfreq="Quarterly",IF(P725="","",IF(P725="Total",SUM($T$19:T724),Adj_Rate/4*$R725)),IF(payfreq="Monthly",IF(P725="","",IF(P725="Total",SUM($T$19:T724),Adj_Rate/12*$R725)),""))))</f>
        <v>#N/A</v>
      </c>
      <c r="U725" s="37" t="e">
        <f t="shared" ca="1" si="157"/>
        <v>#N/A</v>
      </c>
      <c r="V725" s="44" t="e">
        <f t="shared" ca="1" si="158"/>
        <v>#N/A</v>
      </c>
    </row>
    <row r="726" spans="2:22">
      <c r="B726" s="38" t="e">
        <f t="shared" ca="1" si="161"/>
        <v>#N/A</v>
      </c>
      <c r="C726" s="77" t="e">
        <f t="shared" ca="1" si="153"/>
        <v>#N/A</v>
      </c>
      <c r="D726" s="78" t="e">
        <f ca="1">+IF(AND(B726&lt;$G$7),VLOOKUP($B$1,Inventory!$A$1:$BC$500,35,FALSE),IF(AND(B726=$G$7,pmt_timing="End"),VLOOKUP($B$1,Inventory!$A$1:$BC$500,35,FALSE),0))</f>
        <v>#N/A</v>
      </c>
      <c r="E726" s="78">
        <v>0</v>
      </c>
      <c r="F726" s="78">
        <v>0</v>
      </c>
      <c r="G726" s="78">
        <v>0</v>
      </c>
      <c r="H726" s="78">
        <v>0</v>
      </c>
      <c r="I726" s="78">
        <v>0</v>
      </c>
      <c r="J726" s="78">
        <v>0</v>
      </c>
      <c r="K726" s="78">
        <v>0</v>
      </c>
      <c r="L726" s="36" t="e">
        <f t="shared" ca="1" si="154"/>
        <v>#N/A</v>
      </c>
      <c r="M726" s="37" t="e">
        <f t="shared" ca="1" si="155"/>
        <v>#N/A</v>
      </c>
      <c r="N726" s="37" t="e">
        <f t="shared" ca="1" si="159"/>
        <v>#N/A</v>
      </c>
      <c r="P726" s="35" t="e">
        <f t="shared" ca="1" si="162"/>
        <v>#N/A</v>
      </c>
      <c r="Q726" s="59" t="e">
        <f t="shared" ca="1" si="160"/>
        <v>#N/A</v>
      </c>
      <c r="R726" s="44" t="e">
        <f t="shared" ca="1" si="156"/>
        <v>#N/A</v>
      </c>
      <c r="S726" s="37" t="e">
        <f ca="1">IF(P726="","",IF(P726="Total",SUM($S$19:S725),VLOOKUP($P726,$B$12:$L790,11,FALSE)))</f>
        <v>#N/A</v>
      </c>
      <c r="T726" s="44" t="e">
        <f ca="1">IF(payfreq="Annually",IF(P726="","",IF(P726="Total",SUM($T$19:T725),Adj_Rate*$R726)),IF(payfreq="Semiannually",IF(P726="","",IF(P726="Total",SUM($T$19:T725),Adj_Rate/2*$R726)),IF(payfreq="Quarterly",IF(P726="","",IF(P726="Total",SUM($T$19:T725),Adj_Rate/4*$R726)),IF(payfreq="Monthly",IF(P726="","",IF(P726="Total",SUM($T$19:T725),Adj_Rate/12*$R726)),""))))</f>
        <v>#N/A</v>
      </c>
      <c r="U726" s="37" t="e">
        <f t="shared" ca="1" si="157"/>
        <v>#N/A</v>
      </c>
      <c r="V726" s="44" t="e">
        <f t="shared" ca="1" si="158"/>
        <v>#N/A</v>
      </c>
    </row>
    <row r="727" spans="2:22">
      <c r="B727" s="38" t="e">
        <f t="shared" ca="1" si="161"/>
        <v>#N/A</v>
      </c>
      <c r="C727" s="77" t="e">
        <f t="shared" ca="1" si="153"/>
        <v>#N/A</v>
      </c>
      <c r="D727" s="78" t="e">
        <f ca="1">+IF(AND(B727&lt;$G$7),VLOOKUP($B$1,Inventory!$A$1:$BC$500,35,FALSE),IF(AND(B727=$G$7,pmt_timing="End"),VLOOKUP($B$1,Inventory!$A$1:$BC$500,35,FALSE),0))</f>
        <v>#N/A</v>
      </c>
      <c r="E727" s="78">
        <v>0</v>
      </c>
      <c r="F727" s="78">
        <v>0</v>
      </c>
      <c r="G727" s="78">
        <v>0</v>
      </c>
      <c r="H727" s="78">
        <v>0</v>
      </c>
      <c r="I727" s="78">
        <v>0</v>
      </c>
      <c r="J727" s="78">
        <v>0</v>
      </c>
      <c r="K727" s="78">
        <v>0</v>
      </c>
      <c r="L727" s="36" t="e">
        <f t="shared" ca="1" si="154"/>
        <v>#N/A</v>
      </c>
      <c r="M727" s="37" t="e">
        <f t="shared" ca="1" si="155"/>
        <v>#N/A</v>
      </c>
      <c r="N727" s="37" t="e">
        <f t="shared" ca="1" si="159"/>
        <v>#N/A</v>
      </c>
      <c r="P727" s="35" t="e">
        <f t="shared" ca="1" si="162"/>
        <v>#N/A</v>
      </c>
      <c r="Q727" s="59" t="e">
        <f t="shared" ca="1" si="160"/>
        <v>#N/A</v>
      </c>
      <c r="R727" s="44" t="e">
        <f t="shared" ca="1" si="156"/>
        <v>#N/A</v>
      </c>
      <c r="S727" s="37" t="e">
        <f ca="1">IF(P727="","",IF(P727="Total",SUM($S$19:S726),VLOOKUP($P727,$B$12:$L791,11,FALSE)))</f>
        <v>#N/A</v>
      </c>
      <c r="T727" s="44" t="e">
        <f ca="1">IF(payfreq="Annually",IF(P727="","",IF(P727="Total",SUM($T$19:T726),Adj_Rate*$R727)),IF(payfreq="Semiannually",IF(P727="","",IF(P727="Total",SUM($T$19:T726),Adj_Rate/2*$R727)),IF(payfreq="Quarterly",IF(P727="","",IF(P727="Total",SUM($T$19:T726),Adj_Rate/4*$R727)),IF(payfreq="Monthly",IF(P727="","",IF(P727="Total",SUM($T$19:T726),Adj_Rate/12*$R727)),""))))</f>
        <v>#N/A</v>
      </c>
      <c r="U727" s="37" t="e">
        <f t="shared" ca="1" si="157"/>
        <v>#N/A</v>
      </c>
      <c r="V727" s="44" t="e">
        <f t="shared" ca="1" si="158"/>
        <v>#N/A</v>
      </c>
    </row>
    <row r="728" spans="2:22">
      <c r="B728" s="38" t="e">
        <f t="shared" ca="1" si="161"/>
        <v>#N/A</v>
      </c>
      <c r="C728" s="77" t="e">
        <f t="shared" ca="1" si="153"/>
        <v>#N/A</v>
      </c>
      <c r="D728" s="78" t="e">
        <f ca="1">+IF(AND(B728&lt;$G$7),VLOOKUP($B$1,Inventory!$A$1:$BC$500,35,FALSE),IF(AND(B728=$G$7,pmt_timing="End"),VLOOKUP($B$1,Inventory!$A$1:$BC$500,35,FALSE),0))</f>
        <v>#N/A</v>
      </c>
      <c r="E728" s="78">
        <v>0</v>
      </c>
      <c r="F728" s="78">
        <v>0</v>
      </c>
      <c r="G728" s="78">
        <v>0</v>
      </c>
      <c r="H728" s="78">
        <v>0</v>
      </c>
      <c r="I728" s="78">
        <v>0</v>
      </c>
      <c r="J728" s="78">
        <v>0</v>
      </c>
      <c r="K728" s="78">
        <v>0</v>
      </c>
      <c r="L728" s="36" t="e">
        <f t="shared" ca="1" si="154"/>
        <v>#N/A</v>
      </c>
      <c r="M728" s="37" t="e">
        <f t="shared" ca="1" si="155"/>
        <v>#N/A</v>
      </c>
      <c r="N728" s="37" t="e">
        <f t="shared" ca="1" si="159"/>
        <v>#N/A</v>
      </c>
      <c r="P728" s="35" t="e">
        <f t="shared" ca="1" si="162"/>
        <v>#N/A</v>
      </c>
      <c r="Q728" s="59" t="e">
        <f t="shared" ca="1" si="160"/>
        <v>#N/A</v>
      </c>
      <c r="R728" s="44" t="e">
        <f t="shared" ca="1" si="156"/>
        <v>#N/A</v>
      </c>
      <c r="S728" s="37" t="e">
        <f ca="1">IF(P728="","",IF(P728="Total",SUM($S$19:S727),VLOOKUP($P728,$B$12:$L792,11,FALSE)))</f>
        <v>#N/A</v>
      </c>
      <c r="T728" s="44" t="e">
        <f ca="1">IF(payfreq="Annually",IF(P728="","",IF(P728="Total",SUM($T$19:T727),Adj_Rate*$R728)),IF(payfreq="Semiannually",IF(P728="","",IF(P728="Total",SUM($T$19:T727),Adj_Rate/2*$R728)),IF(payfreq="Quarterly",IF(P728="","",IF(P728="Total",SUM($T$19:T727),Adj_Rate/4*$R728)),IF(payfreq="Monthly",IF(P728="","",IF(P728="Total",SUM($T$19:T727),Adj_Rate/12*$R728)),""))))</f>
        <v>#N/A</v>
      </c>
      <c r="U728" s="37" t="e">
        <f t="shared" ca="1" si="157"/>
        <v>#N/A</v>
      </c>
      <c r="V728" s="44" t="e">
        <f t="shared" ca="1" si="158"/>
        <v>#N/A</v>
      </c>
    </row>
    <row r="729" spans="2:22">
      <c r="B729" s="38" t="e">
        <f t="shared" ca="1" si="161"/>
        <v>#N/A</v>
      </c>
      <c r="C729" s="77" t="e">
        <f t="shared" ca="1" si="153"/>
        <v>#N/A</v>
      </c>
      <c r="D729" s="78" t="e">
        <f ca="1">+IF(AND(B729&lt;$G$7),VLOOKUP($B$1,Inventory!$A$1:$BC$500,35,FALSE),IF(AND(B729=$G$7,pmt_timing="End"),VLOOKUP($B$1,Inventory!$A$1:$BC$500,35,FALSE),0))</f>
        <v>#N/A</v>
      </c>
      <c r="E729" s="78">
        <v>0</v>
      </c>
      <c r="F729" s="78">
        <v>0</v>
      </c>
      <c r="G729" s="78">
        <v>0</v>
      </c>
      <c r="H729" s="78">
        <v>0</v>
      </c>
      <c r="I729" s="78">
        <v>0</v>
      </c>
      <c r="J729" s="78">
        <v>0</v>
      </c>
      <c r="K729" s="78">
        <v>0</v>
      </c>
      <c r="L729" s="36" t="e">
        <f t="shared" ca="1" si="154"/>
        <v>#N/A</v>
      </c>
      <c r="M729" s="37" t="e">
        <f t="shared" ca="1" si="155"/>
        <v>#N/A</v>
      </c>
      <c r="N729" s="37" t="e">
        <f t="shared" ca="1" si="159"/>
        <v>#N/A</v>
      </c>
      <c r="P729" s="35" t="e">
        <f t="shared" ca="1" si="162"/>
        <v>#N/A</v>
      </c>
      <c r="Q729" s="59" t="e">
        <f t="shared" ca="1" si="160"/>
        <v>#N/A</v>
      </c>
      <c r="R729" s="44" t="e">
        <f t="shared" ca="1" si="156"/>
        <v>#N/A</v>
      </c>
      <c r="S729" s="37" t="e">
        <f ca="1">IF(P729="","",IF(P729="Total",SUM($S$19:S728),VLOOKUP($P729,$B$12:$L793,11,FALSE)))</f>
        <v>#N/A</v>
      </c>
      <c r="T729" s="44" t="e">
        <f ca="1">IF(payfreq="Annually",IF(P729="","",IF(P729="Total",SUM($T$19:T728),Adj_Rate*$R729)),IF(payfreq="Semiannually",IF(P729="","",IF(P729="Total",SUM($T$19:T728),Adj_Rate/2*$R729)),IF(payfreq="Quarterly",IF(P729="","",IF(P729="Total",SUM($T$19:T728),Adj_Rate/4*$R729)),IF(payfreq="Monthly",IF(P729="","",IF(P729="Total",SUM($T$19:T728),Adj_Rate/12*$R729)),""))))</f>
        <v>#N/A</v>
      </c>
      <c r="U729" s="37" t="e">
        <f t="shared" ca="1" si="157"/>
        <v>#N/A</v>
      </c>
      <c r="V729" s="44" t="e">
        <f t="shared" ca="1" si="158"/>
        <v>#N/A</v>
      </c>
    </row>
    <row r="730" spans="2:22">
      <c r="B730" s="38" t="e">
        <f t="shared" ca="1" si="161"/>
        <v>#N/A</v>
      </c>
      <c r="C730" s="77" t="e">
        <f t="shared" ca="1" si="153"/>
        <v>#N/A</v>
      </c>
      <c r="D730" s="78" t="e">
        <f ca="1">+IF(AND(B730&lt;$G$7),VLOOKUP($B$1,Inventory!$A$1:$BC$500,35,FALSE),IF(AND(B730=$G$7,pmt_timing="End"),VLOOKUP($B$1,Inventory!$A$1:$BC$500,35,FALSE),0))</f>
        <v>#N/A</v>
      </c>
      <c r="E730" s="78">
        <v>0</v>
      </c>
      <c r="F730" s="78">
        <v>0</v>
      </c>
      <c r="G730" s="78">
        <v>0</v>
      </c>
      <c r="H730" s="78">
        <v>0</v>
      </c>
      <c r="I730" s="78">
        <v>0</v>
      </c>
      <c r="J730" s="78">
        <v>0</v>
      </c>
      <c r="K730" s="78">
        <v>0</v>
      </c>
      <c r="L730" s="36" t="e">
        <f t="shared" ca="1" si="154"/>
        <v>#N/A</v>
      </c>
      <c r="M730" s="37" t="e">
        <f t="shared" ca="1" si="155"/>
        <v>#N/A</v>
      </c>
      <c r="N730" s="37" t="e">
        <f t="shared" ca="1" si="159"/>
        <v>#N/A</v>
      </c>
      <c r="P730" s="35" t="e">
        <f t="shared" ca="1" si="162"/>
        <v>#N/A</v>
      </c>
      <c r="Q730" s="59" t="e">
        <f t="shared" ca="1" si="160"/>
        <v>#N/A</v>
      </c>
      <c r="R730" s="44" t="e">
        <f t="shared" ca="1" si="156"/>
        <v>#N/A</v>
      </c>
      <c r="S730" s="37" t="e">
        <f ca="1">IF(P730="","",IF(P730="Total",SUM($S$19:S729),VLOOKUP($P730,$B$12:$L794,11,FALSE)))</f>
        <v>#N/A</v>
      </c>
      <c r="T730" s="44" t="e">
        <f ca="1">IF(payfreq="Annually",IF(P730="","",IF(P730="Total",SUM($T$19:T729),Adj_Rate*$R730)),IF(payfreq="Semiannually",IF(P730="","",IF(P730="Total",SUM($T$19:T729),Adj_Rate/2*$R730)),IF(payfreq="Quarterly",IF(P730="","",IF(P730="Total",SUM($T$19:T729),Adj_Rate/4*$R730)),IF(payfreq="Monthly",IF(P730="","",IF(P730="Total",SUM($T$19:T729),Adj_Rate/12*$R730)),""))))</f>
        <v>#N/A</v>
      </c>
      <c r="U730" s="37" t="e">
        <f t="shared" ca="1" si="157"/>
        <v>#N/A</v>
      </c>
      <c r="V730" s="44" t="e">
        <f t="shared" ca="1" si="158"/>
        <v>#N/A</v>
      </c>
    </row>
    <row r="731" spans="2:22">
      <c r="B731" s="38" t="e">
        <f t="shared" ca="1" si="161"/>
        <v>#N/A</v>
      </c>
      <c r="C731" s="77" t="e">
        <f t="shared" ca="1" si="153"/>
        <v>#N/A</v>
      </c>
      <c r="D731" s="78" t="e">
        <f ca="1">+IF(AND(B731&lt;$G$7),VLOOKUP($B$1,Inventory!$A$1:$BC$500,35,FALSE),IF(AND(B731=$G$7,pmt_timing="End"),VLOOKUP($B$1,Inventory!$A$1:$BC$500,35,FALSE),0))</f>
        <v>#N/A</v>
      </c>
      <c r="E731" s="78">
        <v>0</v>
      </c>
      <c r="F731" s="78">
        <v>0</v>
      </c>
      <c r="G731" s="78">
        <v>0</v>
      </c>
      <c r="H731" s="78">
        <v>0</v>
      </c>
      <c r="I731" s="78">
        <v>0</v>
      </c>
      <c r="J731" s="78">
        <v>0</v>
      </c>
      <c r="K731" s="78">
        <v>0</v>
      </c>
      <c r="L731" s="36" t="e">
        <f t="shared" ca="1" si="154"/>
        <v>#N/A</v>
      </c>
      <c r="M731" s="37" t="e">
        <f t="shared" ca="1" si="155"/>
        <v>#N/A</v>
      </c>
      <c r="N731" s="37" t="e">
        <f t="shared" ca="1" si="159"/>
        <v>#N/A</v>
      </c>
      <c r="P731" s="35" t="e">
        <f t="shared" ca="1" si="162"/>
        <v>#N/A</v>
      </c>
      <c r="Q731" s="59" t="e">
        <f t="shared" ca="1" si="160"/>
        <v>#N/A</v>
      </c>
      <c r="R731" s="44" t="e">
        <f t="shared" ca="1" si="156"/>
        <v>#N/A</v>
      </c>
      <c r="S731" s="37" t="e">
        <f ca="1">IF(P731="","",IF(P731="Total",SUM($S$19:S730),VLOOKUP($P731,$B$12:$L795,11,FALSE)))</f>
        <v>#N/A</v>
      </c>
      <c r="T731" s="44" t="e">
        <f ca="1">IF(payfreq="Annually",IF(P731="","",IF(P731="Total",SUM($T$19:T730),Adj_Rate*$R731)),IF(payfreq="Semiannually",IF(P731="","",IF(P731="Total",SUM($T$19:T730),Adj_Rate/2*$R731)),IF(payfreq="Quarterly",IF(P731="","",IF(P731="Total",SUM($T$19:T730),Adj_Rate/4*$R731)),IF(payfreq="Monthly",IF(P731="","",IF(P731="Total",SUM($T$19:T730),Adj_Rate/12*$R731)),""))))</f>
        <v>#N/A</v>
      </c>
      <c r="U731" s="37" t="e">
        <f t="shared" ca="1" si="157"/>
        <v>#N/A</v>
      </c>
      <c r="V731" s="44" t="e">
        <f t="shared" ca="1" si="158"/>
        <v>#N/A</v>
      </c>
    </row>
    <row r="732" spans="2:22">
      <c r="B732" s="38" t="e">
        <f t="shared" ca="1" si="161"/>
        <v>#N/A</v>
      </c>
      <c r="C732" s="77" t="e">
        <f t="shared" ca="1" si="153"/>
        <v>#N/A</v>
      </c>
      <c r="D732" s="78" t="e">
        <f ca="1">+IF(AND(B732&lt;$G$7),VLOOKUP($B$1,Inventory!$A$1:$BC$500,35,FALSE),IF(AND(B732=$G$7,pmt_timing="End"),VLOOKUP($B$1,Inventory!$A$1:$BC$500,35,FALSE),0))</f>
        <v>#N/A</v>
      </c>
      <c r="E732" s="78">
        <v>0</v>
      </c>
      <c r="F732" s="78">
        <v>0</v>
      </c>
      <c r="G732" s="78">
        <v>0</v>
      </c>
      <c r="H732" s="78">
        <v>0</v>
      </c>
      <c r="I732" s="78">
        <v>0</v>
      </c>
      <c r="J732" s="78">
        <v>0</v>
      </c>
      <c r="K732" s="78">
        <v>0</v>
      </c>
      <c r="L732" s="36" t="e">
        <f t="shared" ca="1" si="154"/>
        <v>#N/A</v>
      </c>
      <c r="M732" s="37" t="e">
        <f t="shared" ca="1" si="155"/>
        <v>#N/A</v>
      </c>
      <c r="N732" s="37" t="e">
        <f t="shared" ca="1" si="159"/>
        <v>#N/A</v>
      </c>
      <c r="P732" s="35" t="e">
        <f t="shared" ca="1" si="162"/>
        <v>#N/A</v>
      </c>
      <c r="Q732" s="59" t="e">
        <f t="shared" ca="1" si="160"/>
        <v>#N/A</v>
      </c>
      <c r="R732" s="44" t="e">
        <f t="shared" ca="1" si="156"/>
        <v>#N/A</v>
      </c>
      <c r="S732" s="37" t="e">
        <f ca="1">IF(P732="","",IF(P732="Total",SUM($S$19:S731),VLOOKUP($P732,$B$12:$L796,11,FALSE)))</f>
        <v>#N/A</v>
      </c>
      <c r="T732" s="44" t="e">
        <f ca="1">IF(payfreq="Annually",IF(P732="","",IF(P732="Total",SUM($T$19:T731),Adj_Rate*$R732)),IF(payfreq="Semiannually",IF(P732="","",IF(P732="Total",SUM($T$19:T731),Adj_Rate/2*$R732)),IF(payfreq="Quarterly",IF(P732="","",IF(P732="Total",SUM($T$19:T731),Adj_Rate/4*$R732)),IF(payfreq="Monthly",IF(P732="","",IF(P732="Total",SUM($T$19:T731),Adj_Rate/12*$R732)),""))))</f>
        <v>#N/A</v>
      </c>
      <c r="U732" s="37" t="e">
        <f t="shared" ca="1" si="157"/>
        <v>#N/A</v>
      </c>
      <c r="V732" s="44" t="e">
        <f t="shared" ca="1" si="158"/>
        <v>#N/A</v>
      </c>
    </row>
    <row r="733" spans="2:22">
      <c r="B733" s="38" t="e">
        <f t="shared" ca="1" si="161"/>
        <v>#N/A</v>
      </c>
      <c r="C733" s="77" t="e">
        <f t="shared" ca="1" si="153"/>
        <v>#N/A</v>
      </c>
      <c r="D733" s="78" t="e">
        <f ca="1">+IF(AND(B733&lt;$G$7),VLOOKUP($B$1,Inventory!$A$1:$BC$500,35,FALSE),IF(AND(B733=$G$7,pmt_timing="End"),VLOOKUP($B$1,Inventory!$A$1:$BC$500,35,FALSE),0))</f>
        <v>#N/A</v>
      </c>
      <c r="E733" s="78">
        <v>0</v>
      </c>
      <c r="F733" s="78">
        <v>0</v>
      </c>
      <c r="G733" s="78">
        <v>0</v>
      </c>
      <c r="H733" s="78">
        <v>0</v>
      </c>
      <c r="I733" s="78">
        <v>0</v>
      </c>
      <c r="J733" s="78">
        <v>0</v>
      </c>
      <c r="K733" s="78">
        <v>0</v>
      </c>
      <c r="L733" s="36" t="e">
        <f t="shared" ca="1" si="154"/>
        <v>#N/A</v>
      </c>
      <c r="M733" s="37" t="e">
        <f t="shared" ca="1" si="155"/>
        <v>#N/A</v>
      </c>
      <c r="N733" s="37" t="e">
        <f t="shared" ca="1" si="159"/>
        <v>#N/A</v>
      </c>
      <c r="P733" s="35" t="e">
        <f t="shared" ca="1" si="162"/>
        <v>#N/A</v>
      </c>
      <c r="Q733" s="59" t="e">
        <f t="shared" ca="1" si="160"/>
        <v>#N/A</v>
      </c>
      <c r="R733" s="44" t="e">
        <f t="shared" ca="1" si="156"/>
        <v>#N/A</v>
      </c>
      <c r="S733" s="37" t="e">
        <f ca="1">IF(P733="","",IF(P733="Total",SUM($S$19:S732),VLOOKUP($P733,$B$12:$L797,11,FALSE)))</f>
        <v>#N/A</v>
      </c>
      <c r="T733" s="44" t="e">
        <f ca="1">IF(payfreq="Annually",IF(P733="","",IF(P733="Total",SUM($T$19:T732),Adj_Rate*$R733)),IF(payfreq="Semiannually",IF(P733="","",IF(P733="Total",SUM($T$19:T732),Adj_Rate/2*$R733)),IF(payfreq="Quarterly",IF(P733="","",IF(P733="Total",SUM($T$19:T732),Adj_Rate/4*$R733)),IF(payfreq="Monthly",IF(P733="","",IF(P733="Total",SUM($T$19:T732),Adj_Rate/12*$R733)),""))))</f>
        <v>#N/A</v>
      </c>
      <c r="U733" s="37" t="e">
        <f t="shared" ca="1" si="157"/>
        <v>#N/A</v>
      </c>
      <c r="V733" s="44" t="e">
        <f t="shared" ca="1" si="158"/>
        <v>#N/A</v>
      </c>
    </row>
    <row r="734" spans="2:22">
      <c r="B734" s="38" t="e">
        <f t="shared" ca="1" si="161"/>
        <v>#N/A</v>
      </c>
      <c r="C734" s="77" t="e">
        <f t="shared" ca="1" si="153"/>
        <v>#N/A</v>
      </c>
      <c r="D734" s="78" t="e">
        <f ca="1">+IF(AND(B734&lt;$G$7),VLOOKUP($B$1,Inventory!$A$1:$BC$500,35,FALSE),IF(AND(B734=$G$7,pmt_timing="End"),VLOOKUP($B$1,Inventory!$A$1:$BC$500,35,FALSE),0))</f>
        <v>#N/A</v>
      </c>
      <c r="E734" s="78">
        <v>0</v>
      </c>
      <c r="F734" s="78">
        <v>0</v>
      </c>
      <c r="G734" s="78">
        <v>0</v>
      </c>
      <c r="H734" s="78">
        <v>0</v>
      </c>
      <c r="I734" s="78">
        <v>0</v>
      </c>
      <c r="J734" s="78">
        <v>0</v>
      </c>
      <c r="K734" s="78">
        <v>0</v>
      </c>
      <c r="L734" s="36" t="e">
        <f t="shared" ca="1" si="154"/>
        <v>#N/A</v>
      </c>
      <c r="M734" s="37" t="e">
        <f t="shared" ca="1" si="155"/>
        <v>#N/A</v>
      </c>
      <c r="N734" s="37" t="e">
        <f t="shared" ca="1" si="159"/>
        <v>#N/A</v>
      </c>
      <c r="P734" s="35" t="e">
        <f t="shared" ca="1" si="162"/>
        <v>#N/A</v>
      </c>
      <c r="Q734" s="59" t="e">
        <f t="shared" ca="1" si="160"/>
        <v>#N/A</v>
      </c>
      <c r="R734" s="44" t="e">
        <f t="shared" ca="1" si="156"/>
        <v>#N/A</v>
      </c>
      <c r="S734" s="37" t="e">
        <f ca="1">IF(P734="","",IF(P734="Total",SUM($S$19:S733),VLOOKUP($P734,$B$12:$L798,11,FALSE)))</f>
        <v>#N/A</v>
      </c>
      <c r="T734" s="44" t="e">
        <f ca="1">IF(payfreq="Annually",IF(P734="","",IF(P734="Total",SUM($T$19:T733),Adj_Rate*$R734)),IF(payfreq="Semiannually",IF(P734="","",IF(P734="Total",SUM($T$19:T733),Adj_Rate/2*$R734)),IF(payfreq="Quarterly",IF(P734="","",IF(P734="Total",SUM($T$19:T733),Adj_Rate/4*$R734)),IF(payfreq="Monthly",IF(P734="","",IF(P734="Total",SUM($T$19:T733),Adj_Rate/12*$R734)),""))))</f>
        <v>#N/A</v>
      </c>
      <c r="U734" s="37" t="e">
        <f t="shared" ca="1" si="157"/>
        <v>#N/A</v>
      </c>
      <c r="V734" s="44" t="e">
        <f t="shared" ca="1" si="158"/>
        <v>#N/A</v>
      </c>
    </row>
    <row r="735" spans="2:22">
      <c r="B735" s="38" t="e">
        <f t="shared" ca="1" si="161"/>
        <v>#N/A</v>
      </c>
      <c r="C735" s="77" t="e">
        <f t="shared" ca="1" si="153"/>
        <v>#N/A</v>
      </c>
      <c r="D735" s="78" t="e">
        <f ca="1">+IF(AND(B735&lt;$G$7),VLOOKUP($B$1,Inventory!$A$1:$BC$500,35,FALSE),IF(AND(B735=$G$7,pmt_timing="End"),VLOOKUP($B$1,Inventory!$A$1:$BC$500,35,FALSE),0))</f>
        <v>#N/A</v>
      </c>
      <c r="E735" s="78">
        <v>0</v>
      </c>
      <c r="F735" s="78">
        <v>0</v>
      </c>
      <c r="G735" s="78">
        <v>0</v>
      </c>
      <c r="H735" s="78">
        <v>0</v>
      </c>
      <c r="I735" s="78">
        <v>0</v>
      </c>
      <c r="J735" s="78">
        <v>0</v>
      </c>
      <c r="K735" s="78">
        <v>0</v>
      </c>
      <c r="L735" s="36" t="e">
        <f t="shared" ca="1" si="154"/>
        <v>#N/A</v>
      </c>
      <c r="M735" s="37" t="e">
        <f t="shared" ca="1" si="155"/>
        <v>#N/A</v>
      </c>
      <c r="N735" s="37" t="e">
        <f t="shared" ca="1" si="159"/>
        <v>#N/A</v>
      </c>
      <c r="P735" s="35" t="e">
        <f t="shared" ca="1" si="162"/>
        <v>#N/A</v>
      </c>
      <c r="Q735" s="59" t="e">
        <f t="shared" ca="1" si="160"/>
        <v>#N/A</v>
      </c>
      <c r="R735" s="44" t="e">
        <f t="shared" ca="1" si="156"/>
        <v>#N/A</v>
      </c>
      <c r="S735" s="37" t="e">
        <f ca="1">IF(P735="","",IF(P735="Total",SUM($S$19:S734),VLOOKUP($P735,$B$12:$L799,11,FALSE)))</f>
        <v>#N/A</v>
      </c>
      <c r="T735" s="44" t="e">
        <f ca="1">IF(payfreq="Annually",IF(P735="","",IF(P735="Total",SUM($T$19:T734),Adj_Rate*$R735)),IF(payfreq="Semiannually",IF(P735="","",IF(P735="Total",SUM($T$19:T734),Adj_Rate/2*$R735)),IF(payfreq="Quarterly",IF(P735="","",IF(P735="Total",SUM($T$19:T734),Adj_Rate/4*$R735)),IF(payfreq="Monthly",IF(P735="","",IF(P735="Total",SUM($T$19:T734),Adj_Rate/12*$R735)),""))))</f>
        <v>#N/A</v>
      </c>
      <c r="U735" s="37" t="e">
        <f t="shared" ca="1" si="157"/>
        <v>#N/A</v>
      </c>
      <c r="V735" s="44" t="e">
        <f t="shared" ca="1" si="158"/>
        <v>#N/A</v>
      </c>
    </row>
    <row r="736" spans="2:22">
      <c r="B736" s="38" t="e">
        <f t="shared" ca="1" si="161"/>
        <v>#N/A</v>
      </c>
      <c r="C736" s="77" t="e">
        <f t="shared" ca="1" si="153"/>
        <v>#N/A</v>
      </c>
      <c r="D736" s="78" t="e">
        <f ca="1">+IF(AND(B736&lt;$G$7),VLOOKUP($B$1,Inventory!$A$1:$BC$500,35,FALSE),IF(AND(B736=$G$7,pmt_timing="End"),VLOOKUP($B$1,Inventory!$A$1:$BC$500,35,FALSE),0))</f>
        <v>#N/A</v>
      </c>
      <c r="E736" s="78">
        <v>0</v>
      </c>
      <c r="F736" s="78">
        <v>0</v>
      </c>
      <c r="G736" s="78">
        <v>0</v>
      </c>
      <c r="H736" s="78">
        <v>0</v>
      </c>
      <c r="I736" s="78">
        <v>0</v>
      </c>
      <c r="J736" s="78">
        <v>0</v>
      </c>
      <c r="K736" s="78">
        <v>0</v>
      </c>
      <c r="L736" s="36" t="e">
        <f t="shared" ca="1" si="154"/>
        <v>#N/A</v>
      </c>
      <c r="M736" s="37" t="e">
        <f t="shared" ca="1" si="155"/>
        <v>#N/A</v>
      </c>
      <c r="N736" s="37" t="e">
        <f t="shared" ca="1" si="159"/>
        <v>#N/A</v>
      </c>
      <c r="P736" s="35" t="e">
        <f t="shared" ca="1" si="162"/>
        <v>#N/A</v>
      </c>
      <c r="Q736" s="59" t="e">
        <f t="shared" ca="1" si="160"/>
        <v>#N/A</v>
      </c>
      <c r="R736" s="44" t="e">
        <f t="shared" ca="1" si="156"/>
        <v>#N/A</v>
      </c>
      <c r="S736" s="37" t="e">
        <f ca="1">IF(P736="","",IF(P736="Total",SUM($S$19:S735),VLOOKUP($P736,$B$12:$L800,11,FALSE)))</f>
        <v>#N/A</v>
      </c>
      <c r="T736" s="44" t="e">
        <f ca="1">IF(payfreq="Annually",IF(P736="","",IF(P736="Total",SUM($T$19:T735),Adj_Rate*$R736)),IF(payfreq="Semiannually",IF(P736="","",IF(P736="Total",SUM($T$19:T735),Adj_Rate/2*$R736)),IF(payfreq="Quarterly",IF(P736="","",IF(P736="Total",SUM($T$19:T735),Adj_Rate/4*$R736)),IF(payfreq="Monthly",IF(P736="","",IF(P736="Total",SUM($T$19:T735),Adj_Rate/12*$R736)),""))))</f>
        <v>#N/A</v>
      </c>
      <c r="U736" s="37" t="e">
        <f t="shared" ca="1" si="157"/>
        <v>#N/A</v>
      </c>
      <c r="V736" s="44" t="e">
        <f t="shared" ca="1" si="158"/>
        <v>#N/A</v>
      </c>
    </row>
    <row r="737" spans="2:22">
      <c r="B737" s="38" t="e">
        <f t="shared" ca="1" si="161"/>
        <v>#N/A</v>
      </c>
      <c r="C737" s="77" t="e">
        <f t="shared" ca="1" si="153"/>
        <v>#N/A</v>
      </c>
      <c r="D737" s="78" t="e">
        <f ca="1">+IF(AND(B737&lt;$G$7),VLOOKUP($B$1,Inventory!$A$1:$BC$500,35,FALSE),IF(AND(B737=$G$7,pmt_timing="End"),VLOOKUP($B$1,Inventory!$A$1:$BC$500,35,FALSE),0))</f>
        <v>#N/A</v>
      </c>
      <c r="E737" s="78">
        <v>0</v>
      </c>
      <c r="F737" s="78">
        <v>0</v>
      </c>
      <c r="G737" s="78">
        <v>0</v>
      </c>
      <c r="H737" s="78">
        <v>0</v>
      </c>
      <c r="I737" s="78">
        <v>0</v>
      </c>
      <c r="J737" s="78">
        <v>0</v>
      </c>
      <c r="K737" s="78">
        <v>0</v>
      </c>
      <c r="L737" s="36" t="e">
        <f t="shared" ca="1" si="154"/>
        <v>#N/A</v>
      </c>
      <c r="M737" s="37" t="e">
        <f t="shared" ca="1" si="155"/>
        <v>#N/A</v>
      </c>
      <c r="N737" s="37" t="e">
        <f t="shared" ca="1" si="159"/>
        <v>#N/A</v>
      </c>
      <c r="P737" s="35" t="e">
        <f t="shared" ca="1" si="162"/>
        <v>#N/A</v>
      </c>
      <c r="Q737" s="59" t="e">
        <f t="shared" ca="1" si="160"/>
        <v>#N/A</v>
      </c>
      <c r="R737" s="44" t="e">
        <f t="shared" ca="1" si="156"/>
        <v>#N/A</v>
      </c>
      <c r="S737" s="37" t="e">
        <f ca="1">IF(P737="","",IF(P737="Total",SUM($S$19:S736),VLOOKUP($P737,$B$12:$L801,11,FALSE)))</f>
        <v>#N/A</v>
      </c>
      <c r="T737" s="44" t="e">
        <f ca="1">IF(payfreq="Annually",IF(P737="","",IF(P737="Total",SUM($T$19:T736),Adj_Rate*$R737)),IF(payfreq="Semiannually",IF(P737="","",IF(P737="Total",SUM($T$19:T736),Adj_Rate/2*$R737)),IF(payfreq="Quarterly",IF(P737="","",IF(P737="Total",SUM($T$19:T736),Adj_Rate/4*$R737)),IF(payfreq="Monthly",IF(P737="","",IF(P737="Total",SUM($T$19:T736),Adj_Rate/12*$R737)),""))))</f>
        <v>#N/A</v>
      </c>
      <c r="U737" s="37" t="e">
        <f t="shared" ca="1" si="157"/>
        <v>#N/A</v>
      </c>
      <c r="V737" s="44" t="e">
        <f t="shared" ca="1" si="158"/>
        <v>#N/A</v>
      </c>
    </row>
    <row r="738" spans="2:22">
      <c r="B738" s="38" t="e">
        <f t="shared" ca="1" si="161"/>
        <v>#N/A</v>
      </c>
      <c r="C738" s="77" t="e">
        <f t="shared" ca="1" si="153"/>
        <v>#N/A</v>
      </c>
      <c r="D738" s="78" t="e">
        <f ca="1">+IF(AND(B738&lt;$G$7),VLOOKUP($B$1,Inventory!$A$1:$BC$500,35,FALSE),IF(AND(B738=$G$7,pmt_timing="End"),VLOOKUP($B$1,Inventory!$A$1:$BC$500,35,FALSE),0))</f>
        <v>#N/A</v>
      </c>
      <c r="E738" s="78">
        <v>0</v>
      </c>
      <c r="F738" s="78">
        <v>0</v>
      </c>
      <c r="G738" s="78">
        <v>0</v>
      </c>
      <c r="H738" s="78">
        <v>0</v>
      </c>
      <c r="I738" s="78">
        <v>0</v>
      </c>
      <c r="J738" s="78">
        <v>0</v>
      </c>
      <c r="K738" s="78">
        <v>0</v>
      </c>
      <c r="L738" s="36" t="e">
        <f t="shared" ca="1" si="154"/>
        <v>#N/A</v>
      </c>
      <c r="M738" s="37" t="e">
        <f t="shared" ca="1" si="155"/>
        <v>#N/A</v>
      </c>
      <c r="N738" s="37" t="e">
        <f t="shared" ca="1" si="159"/>
        <v>#N/A</v>
      </c>
      <c r="P738" s="35" t="e">
        <f t="shared" ca="1" si="162"/>
        <v>#N/A</v>
      </c>
      <c r="Q738" s="59" t="e">
        <f t="shared" ca="1" si="160"/>
        <v>#N/A</v>
      </c>
      <c r="R738" s="44" t="e">
        <f t="shared" ca="1" si="156"/>
        <v>#N/A</v>
      </c>
      <c r="S738" s="37" t="e">
        <f ca="1">IF(P738="","",IF(P738="Total",SUM($S$19:S737),VLOOKUP($P738,$B$12:$L802,11,FALSE)))</f>
        <v>#N/A</v>
      </c>
      <c r="T738" s="44" t="e">
        <f ca="1">IF(payfreq="Annually",IF(P738="","",IF(P738="Total",SUM($T$19:T737),Adj_Rate*$R738)),IF(payfreq="Semiannually",IF(P738="","",IF(P738="Total",SUM($T$19:T737),Adj_Rate/2*$R738)),IF(payfreq="Quarterly",IF(P738="","",IF(P738="Total",SUM($T$19:T737),Adj_Rate/4*$R738)),IF(payfreq="Monthly",IF(P738="","",IF(P738="Total",SUM($T$19:T737),Adj_Rate/12*$R738)),""))))</f>
        <v>#N/A</v>
      </c>
      <c r="U738" s="37" t="e">
        <f t="shared" ca="1" si="157"/>
        <v>#N/A</v>
      </c>
      <c r="V738" s="44" t="e">
        <f t="shared" ca="1" si="158"/>
        <v>#N/A</v>
      </c>
    </row>
    <row r="739" spans="2:22">
      <c r="B739" s="38" t="e">
        <f t="shared" ca="1" si="161"/>
        <v>#N/A</v>
      </c>
      <c r="C739" s="77" t="e">
        <f t="shared" ca="1" si="153"/>
        <v>#N/A</v>
      </c>
      <c r="D739" s="78" t="e">
        <f ca="1">+IF(AND(B739&lt;$G$7),VLOOKUP($B$1,Inventory!$A$1:$BC$500,35,FALSE),IF(AND(B739=$G$7,pmt_timing="End"),VLOOKUP($B$1,Inventory!$A$1:$BC$500,35,FALSE),0))</f>
        <v>#N/A</v>
      </c>
      <c r="E739" s="78">
        <v>0</v>
      </c>
      <c r="F739" s="78">
        <v>0</v>
      </c>
      <c r="G739" s="78">
        <v>0</v>
      </c>
      <c r="H739" s="78">
        <v>0</v>
      </c>
      <c r="I739" s="78">
        <v>0</v>
      </c>
      <c r="J739" s="78">
        <v>0</v>
      </c>
      <c r="K739" s="78">
        <v>0</v>
      </c>
      <c r="L739" s="36" t="e">
        <f t="shared" ca="1" si="154"/>
        <v>#N/A</v>
      </c>
      <c r="M739" s="37" t="e">
        <f t="shared" ca="1" si="155"/>
        <v>#N/A</v>
      </c>
      <c r="N739" s="37" t="e">
        <f t="shared" ca="1" si="159"/>
        <v>#N/A</v>
      </c>
      <c r="P739" s="35" t="e">
        <f t="shared" ca="1" si="162"/>
        <v>#N/A</v>
      </c>
      <c r="Q739" s="59" t="e">
        <f t="shared" ca="1" si="160"/>
        <v>#N/A</v>
      </c>
      <c r="R739" s="44" t="e">
        <f t="shared" ca="1" si="156"/>
        <v>#N/A</v>
      </c>
      <c r="S739" s="37" t="e">
        <f ca="1">IF(P739="","",IF(P739="Total",SUM($S$19:S738),VLOOKUP($P739,$B$12:$L803,11,FALSE)))</f>
        <v>#N/A</v>
      </c>
      <c r="T739" s="44" t="e">
        <f ca="1">IF(payfreq="Annually",IF(P739="","",IF(P739="Total",SUM($T$19:T738),Adj_Rate*$R739)),IF(payfreq="Semiannually",IF(P739="","",IF(P739="Total",SUM($T$19:T738),Adj_Rate/2*$R739)),IF(payfreq="Quarterly",IF(P739="","",IF(P739="Total",SUM($T$19:T738),Adj_Rate/4*$R739)),IF(payfreq="Monthly",IF(P739="","",IF(P739="Total",SUM($T$19:T738),Adj_Rate/12*$R739)),""))))</f>
        <v>#N/A</v>
      </c>
      <c r="U739" s="37" t="e">
        <f t="shared" ca="1" si="157"/>
        <v>#N/A</v>
      </c>
      <c r="V739" s="44" t="e">
        <f t="shared" ca="1" si="158"/>
        <v>#N/A</v>
      </c>
    </row>
    <row r="740" spans="2:22">
      <c r="B740" s="38" t="e">
        <f t="shared" ca="1" si="161"/>
        <v>#N/A</v>
      </c>
      <c r="C740" s="77" t="e">
        <f t="shared" ca="1" si="153"/>
        <v>#N/A</v>
      </c>
      <c r="D740" s="78" t="e">
        <f ca="1">+IF(AND(B740&lt;$G$7),VLOOKUP($B$1,Inventory!$A$1:$BC$500,35,FALSE),IF(AND(B740=$G$7,pmt_timing="End"),VLOOKUP($B$1,Inventory!$A$1:$BC$500,35,FALSE),0))</f>
        <v>#N/A</v>
      </c>
      <c r="E740" s="78">
        <v>0</v>
      </c>
      <c r="F740" s="78">
        <v>0</v>
      </c>
      <c r="G740" s="78">
        <v>0</v>
      </c>
      <c r="H740" s="78">
        <v>0</v>
      </c>
      <c r="I740" s="78">
        <v>0</v>
      </c>
      <c r="J740" s="78">
        <v>0</v>
      </c>
      <c r="K740" s="78">
        <v>0</v>
      </c>
      <c r="L740" s="36" t="e">
        <f t="shared" ca="1" si="154"/>
        <v>#N/A</v>
      </c>
      <c r="M740" s="37" t="e">
        <f t="shared" ca="1" si="155"/>
        <v>#N/A</v>
      </c>
      <c r="N740" s="37" t="e">
        <f t="shared" ca="1" si="159"/>
        <v>#N/A</v>
      </c>
      <c r="P740" s="35" t="e">
        <f t="shared" ca="1" si="162"/>
        <v>#N/A</v>
      </c>
      <c r="Q740" s="59" t="e">
        <f t="shared" ca="1" si="160"/>
        <v>#N/A</v>
      </c>
      <c r="R740" s="44" t="e">
        <f t="shared" ca="1" si="156"/>
        <v>#N/A</v>
      </c>
      <c r="S740" s="37" t="e">
        <f ca="1">IF(P740="","",IF(P740="Total",SUM($S$19:S739),VLOOKUP($P740,$B$12:$L804,11,FALSE)))</f>
        <v>#N/A</v>
      </c>
      <c r="T740" s="44" t="e">
        <f ca="1">IF(payfreq="Annually",IF(P740="","",IF(P740="Total",SUM($T$19:T739),Adj_Rate*$R740)),IF(payfreq="Semiannually",IF(P740="","",IF(P740="Total",SUM($T$19:T739),Adj_Rate/2*$R740)),IF(payfreq="Quarterly",IF(P740="","",IF(P740="Total",SUM($T$19:T739),Adj_Rate/4*$R740)),IF(payfreq="Monthly",IF(P740="","",IF(P740="Total",SUM($T$19:T739),Adj_Rate/12*$R740)),""))))</f>
        <v>#N/A</v>
      </c>
      <c r="U740" s="37" t="e">
        <f t="shared" ca="1" si="157"/>
        <v>#N/A</v>
      </c>
      <c r="V740" s="44" t="e">
        <f t="shared" ca="1" si="158"/>
        <v>#N/A</v>
      </c>
    </row>
    <row r="741" spans="2:22">
      <c r="B741" s="38" t="e">
        <f t="shared" ca="1" si="161"/>
        <v>#N/A</v>
      </c>
      <c r="C741" s="77" t="e">
        <f t="shared" ca="1" si="153"/>
        <v>#N/A</v>
      </c>
      <c r="D741" s="78" t="e">
        <f ca="1">+IF(AND(B741&lt;$G$7),VLOOKUP($B$1,Inventory!$A$1:$BC$500,35,FALSE),IF(AND(B741=$G$7,pmt_timing="End"),VLOOKUP($B$1,Inventory!$A$1:$BC$500,35,FALSE),0))</f>
        <v>#N/A</v>
      </c>
      <c r="E741" s="78">
        <v>0</v>
      </c>
      <c r="F741" s="78">
        <v>0</v>
      </c>
      <c r="G741" s="78">
        <v>0</v>
      </c>
      <c r="H741" s="78">
        <v>0</v>
      </c>
      <c r="I741" s="78">
        <v>0</v>
      </c>
      <c r="J741" s="78">
        <v>0</v>
      </c>
      <c r="K741" s="78">
        <v>0</v>
      </c>
      <c r="L741" s="36" t="e">
        <f t="shared" ca="1" si="154"/>
        <v>#N/A</v>
      </c>
      <c r="M741" s="37" t="e">
        <f t="shared" ca="1" si="155"/>
        <v>#N/A</v>
      </c>
      <c r="N741" s="37" t="e">
        <f t="shared" ca="1" si="159"/>
        <v>#N/A</v>
      </c>
      <c r="P741" s="35" t="e">
        <f t="shared" ca="1" si="162"/>
        <v>#N/A</v>
      </c>
      <c r="Q741" s="59" t="e">
        <f t="shared" ca="1" si="160"/>
        <v>#N/A</v>
      </c>
      <c r="R741" s="44" t="e">
        <f t="shared" ca="1" si="156"/>
        <v>#N/A</v>
      </c>
      <c r="S741" s="37" t="e">
        <f ca="1">IF(P741="","",IF(P741="Total",SUM($S$19:S740),VLOOKUP($P741,$B$12:$L805,11,FALSE)))</f>
        <v>#N/A</v>
      </c>
      <c r="T741" s="44" t="e">
        <f ca="1">IF(payfreq="Annually",IF(P741="","",IF(P741="Total",SUM($T$19:T740),Adj_Rate*$R741)),IF(payfreq="Semiannually",IF(P741="","",IF(P741="Total",SUM($T$19:T740),Adj_Rate/2*$R741)),IF(payfreq="Quarterly",IF(P741="","",IF(P741="Total",SUM($T$19:T740),Adj_Rate/4*$R741)),IF(payfreq="Monthly",IF(P741="","",IF(P741="Total",SUM($T$19:T740),Adj_Rate/12*$R741)),""))))</f>
        <v>#N/A</v>
      </c>
      <c r="U741" s="37" t="e">
        <f t="shared" ca="1" si="157"/>
        <v>#N/A</v>
      </c>
      <c r="V741" s="44" t="e">
        <f t="shared" ca="1" si="158"/>
        <v>#N/A</v>
      </c>
    </row>
    <row r="742" spans="2:22">
      <c r="B742" s="38" t="e">
        <f t="shared" ca="1" si="161"/>
        <v>#N/A</v>
      </c>
      <c r="C742" s="77" t="e">
        <f t="shared" ca="1" si="153"/>
        <v>#N/A</v>
      </c>
      <c r="D742" s="78" t="e">
        <f ca="1">+IF(AND(B742&lt;$G$7),VLOOKUP($B$1,Inventory!$A$1:$BC$500,35,FALSE),IF(AND(B742=$G$7,pmt_timing="End"),VLOOKUP($B$1,Inventory!$A$1:$BC$500,35,FALSE),0))</f>
        <v>#N/A</v>
      </c>
      <c r="E742" s="78">
        <v>0</v>
      </c>
      <c r="F742" s="78">
        <v>0</v>
      </c>
      <c r="G742" s="78">
        <v>0</v>
      </c>
      <c r="H742" s="78">
        <v>0</v>
      </c>
      <c r="I742" s="78">
        <v>0</v>
      </c>
      <c r="J742" s="78">
        <v>0</v>
      </c>
      <c r="K742" s="78">
        <v>0</v>
      </c>
      <c r="L742" s="36" t="e">
        <f t="shared" ca="1" si="154"/>
        <v>#N/A</v>
      </c>
      <c r="M742" s="37" t="e">
        <f t="shared" ca="1" si="155"/>
        <v>#N/A</v>
      </c>
      <c r="N742" s="37" t="e">
        <f t="shared" ca="1" si="159"/>
        <v>#N/A</v>
      </c>
      <c r="P742" s="35" t="e">
        <f t="shared" ca="1" si="162"/>
        <v>#N/A</v>
      </c>
      <c r="Q742" s="59" t="e">
        <f t="shared" ca="1" si="160"/>
        <v>#N/A</v>
      </c>
      <c r="R742" s="44" t="e">
        <f t="shared" ca="1" si="156"/>
        <v>#N/A</v>
      </c>
      <c r="S742" s="37" t="e">
        <f ca="1">IF(P742="","",IF(P742="Total",SUM($S$19:S741),VLOOKUP($P742,$B$12:$L806,11,FALSE)))</f>
        <v>#N/A</v>
      </c>
      <c r="T742" s="44" t="e">
        <f ca="1">IF(payfreq="Annually",IF(P742="","",IF(P742="Total",SUM($T$19:T741),Adj_Rate*$R742)),IF(payfreq="Semiannually",IF(P742="","",IF(P742="Total",SUM($T$19:T741),Adj_Rate/2*$R742)),IF(payfreq="Quarterly",IF(P742="","",IF(P742="Total",SUM($T$19:T741),Adj_Rate/4*$R742)),IF(payfreq="Monthly",IF(P742="","",IF(P742="Total",SUM($T$19:T741),Adj_Rate/12*$R742)),""))))</f>
        <v>#N/A</v>
      </c>
      <c r="U742" s="37" t="e">
        <f t="shared" ca="1" si="157"/>
        <v>#N/A</v>
      </c>
      <c r="V742" s="44" t="e">
        <f t="shared" ca="1" si="158"/>
        <v>#N/A</v>
      </c>
    </row>
    <row r="743" spans="2:22">
      <c r="B743" s="38" t="e">
        <f t="shared" ca="1" si="161"/>
        <v>#N/A</v>
      </c>
      <c r="C743" s="77" t="e">
        <f t="shared" ca="1" si="153"/>
        <v>#N/A</v>
      </c>
      <c r="D743" s="78" t="e">
        <f ca="1">+IF(AND(B743&lt;$G$7),VLOOKUP($B$1,Inventory!$A$1:$BC$500,35,FALSE),IF(AND(B743=$G$7,pmt_timing="End"),VLOOKUP($B$1,Inventory!$A$1:$BC$500,35,FALSE),0))</f>
        <v>#N/A</v>
      </c>
      <c r="E743" s="78">
        <v>0</v>
      </c>
      <c r="F743" s="78">
        <v>0</v>
      </c>
      <c r="G743" s="78">
        <v>0</v>
      </c>
      <c r="H743" s="78">
        <v>0</v>
      </c>
      <c r="I743" s="78">
        <v>0</v>
      </c>
      <c r="J743" s="78">
        <v>0</v>
      </c>
      <c r="K743" s="78">
        <v>0</v>
      </c>
      <c r="L743" s="36" t="e">
        <f t="shared" ca="1" si="154"/>
        <v>#N/A</v>
      </c>
      <c r="M743" s="37" t="e">
        <f t="shared" ca="1" si="155"/>
        <v>#N/A</v>
      </c>
      <c r="N743" s="37" t="e">
        <f t="shared" ca="1" si="159"/>
        <v>#N/A</v>
      </c>
      <c r="P743" s="35" t="e">
        <f t="shared" ca="1" si="162"/>
        <v>#N/A</v>
      </c>
      <c r="Q743" s="59" t="e">
        <f t="shared" ca="1" si="160"/>
        <v>#N/A</v>
      </c>
      <c r="R743" s="44" t="e">
        <f t="shared" ca="1" si="156"/>
        <v>#N/A</v>
      </c>
      <c r="S743" s="37" t="e">
        <f ca="1">IF(P743="","",IF(P743="Total",SUM($S$19:S742),VLOOKUP($P743,$B$12:$L807,11,FALSE)))</f>
        <v>#N/A</v>
      </c>
      <c r="T743" s="44" t="e">
        <f ca="1">IF(payfreq="Annually",IF(P743="","",IF(P743="Total",SUM($T$19:T742),Adj_Rate*$R743)),IF(payfreq="Semiannually",IF(P743="","",IF(P743="Total",SUM($T$19:T742),Adj_Rate/2*$R743)),IF(payfreq="Quarterly",IF(P743="","",IF(P743="Total",SUM($T$19:T742),Adj_Rate/4*$R743)),IF(payfreq="Monthly",IF(P743="","",IF(P743="Total",SUM($T$19:T742),Adj_Rate/12*$R743)),""))))</f>
        <v>#N/A</v>
      </c>
      <c r="U743" s="37" t="e">
        <f t="shared" ca="1" si="157"/>
        <v>#N/A</v>
      </c>
      <c r="V743" s="44" t="e">
        <f t="shared" ca="1" si="158"/>
        <v>#N/A</v>
      </c>
    </row>
    <row r="744" spans="2:22">
      <c r="B744" s="38" t="e">
        <f t="shared" ca="1" si="161"/>
        <v>#N/A</v>
      </c>
      <c r="C744" s="77" t="e">
        <f t="shared" ca="1" si="153"/>
        <v>#N/A</v>
      </c>
      <c r="D744" s="78" t="e">
        <f ca="1">+IF(AND(B744&lt;$G$7),VLOOKUP($B$1,Inventory!$A$1:$BC$500,35,FALSE),IF(AND(B744=$G$7,pmt_timing="End"),VLOOKUP($B$1,Inventory!$A$1:$BC$500,35,FALSE),0))</f>
        <v>#N/A</v>
      </c>
      <c r="E744" s="78">
        <v>0</v>
      </c>
      <c r="F744" s="78">
        <v>0</v>
      </c>
      <c r="G744" s="78">
        <v>0</v>
      </c>
      <c r="H744" s="78">
        <v>0</v>
      </c>
      <c r="I744" s="78">
        <v>0</v>
      </c>
      <c r="J744" s="78">
        <v>0</v>
      </c>
      <c r="K744" s="78">
        <v>0</v>
      </c>
      <c r="L744" s="36" t="e">
        <f t="shared" ca="1" si="154"/>
        <v>#N/A</v>
      </c>
      <c r="M744" s="37" t="e">
        <f t="shared" ca="1" si="155"/>
        <v>#N/A</v>
      </c>
      <c r="N744" s="37" t="e">
        <f t="shared" ca="1" si="159"/>
        <v>#N/A</v>
      </c>
      <c r="P744" s="35" t="e">
        <f t="shared" ca="1" si="162"/>
        <v>#N/A</v>
      </c>
      <c r="Q744" s="59" t="e">
        <f t="shared" ca="1" si="160"/>
        <v>#N/A</v>
      </c>
      <c r="R744" s="44" t="e">
        <f t="shared" ca="1" si="156"/>
        <v>#N/A</v>
      </c>
      <c r="S744" s="37" t="e">
        <f ca="1">IF(P744="","",IF(P744="Total",SUM($S$19:S743),VLOOKUP($P744,$B$12:$L808,11,FALSE)))</f>
        <v>#N/A</v>
      </c>
      <c r="T744" s="44" t="e">
        <f ca="1">IF(payfreq="Annually",IF(P744="","",IF(P744="Total",SUM($T$19:T743),Adj_Rate*$R744)),IF(payfreq="Semiannually",IF(P744="","",IF(P744="Total",SUM($T$19:T743),Adj_Rate/2*$R744)),IF(payfreq="Quarterly",IF(P744="","",IF(P744="Total",SUM($T$19:T743),Adj_Rate/4*$R744)),IF(payfreq="Monthly",IF(P744="","",IF(P744="Total",SUM($T$19:T743),Adj_Rate/12*$R744)),""))))</f>
        <v>#N/A</v>
      </c>
      <c r="U744" s="37" t="e">
        <f t="shared" ca="1" si="157"/>
        <v>#N/A</v>
      </c>
      <c r="V744" s="44" t="e">
        <f t="shared" ca="1" si="158"/>
        <v>#N/A</v>
      </c>
    </row>
    <row r="745" spans="2:22">
      <c r="B745" s="38" t="e">
        <f t="shared" ca="1" si="161"/>
        <v>#N/A</v>
      </c>
      <c r="C745" s="77" t="e">
        <f t="shared" ca="1" si="153"/>
        <v>#N/A</v>
      </c>
      <c r="D745" s="78" t="e">
        <f ca="1">+IF(AND(B745&lt;$G$7),VLOOKUP($B$1,Inventory!$A$1:$BC$500,35,FALSE),IF(AND(B745=$G$7,pmt_timing="End"),VLOOKUP($B$1,Inventory!$A$1:$BC$500,35,FALSE),0))</f>
        <v>#N/A</v>
      </c>
      <c r="E745" s="78">
        <v>0</v>
      </c>
      <c r="F745" s="78">
        <v>0</v>
      </c>
      <c r="G745" s="78">
        <v>0</v>
      </c>
      <c r="H745" s="78">
        <v>0</v>
      </c>
      <c r="I745" s="78">
        <v>0</v>
      </c>
      <c r="J745" s="78">
        <v>0</v>
      </c>
      <c r="K745" s="78">
        <v>0</v>
      </c>
      <c r="L745" s="36" t="e">
        <f t="shared" ca="1" si="154"/>
        <v>#N/A</v>
      </c>
      <c r="M745" s="37" t="e">
        <f t="shared" ca="1" si="155"/>
        <v>#N/A</v>
      </c>
      <c r="N745" s="37" t="e">
        <f t="shared" ca="1" si="159"/>
        <v>#N/A</v>
      </c>
      <c r="P745" s="35" t="e">
        <f t="shared" ca="1" si="162"/>
        <v>#N/A</v>
      </c>
      <c r="Q745" s="59" t="e">
        <f t="shared" ca="1" si="160"/>
        <v>#N/A</v>
      </c>
      <c r="R745" s="44" t="e">
        <f t="shared" ca="1" si="156"/>
        <v>#N/A</v>
      </c>
      <c r="S745" s="37" t="e">
        <f ca="1">IF(P745="","",IF(P745="Total",SUM($S$19:S744),VLOOKUP($P745,$B$12:$L809,11,FALSE)))</f>
        <v>#N/A</v>
      </c>
      <c r="T745" s="44" t="e">
        <f ca="1">IF(payfreq="Annually",IF(P745="","",IF(P745="Total",SUM($T$19:T744),Adj_Rate*$R745)),IF(payfreq="Semiannually",IF(P745="","",IF(P745="Total",SUM($T$19:T744),Adj_Rate/2*$R745)),IF(payfreq="Quarterly",IF(P745="","",IF(P745="Total",SUM($T$19:T744),Adj_Rate/4*$R745)),IF(payfreq="Monthly",IF(P745="","",IF(P745="Total",SUM($T$19:T744),Adj_Rate/12*$R745)),""))))</f>
        <v>#N/A</v>
      </c>
      <c r="U745" s="37" t="e">
        <f t="shared" ca="1" si="157"/>
        <v>#N/A</v>
      </c>
      <c r="V745" s="44" t="e">
        <f t="shared" ca="1" si="158"/>
        <v>#N/A</v>
      </c>
    </row>
    <row r="746" spans="2:22">
      <c r="B746" s="38" t="e">
        <f t="shared" ca="1" si="161"/>
        <v>#N/A</v>
      </c>
      <c r="C746" s="77" t="e">
        <f t="shared" ca="1" si="153"/>
        <v>#N/A</v>
      </c>
      <c r="D746" s="78" t="e">
        <f ca="1">+IF(AND(B746&lt;$G$7),VLOOKUP($B$1,Inventory!$A$1:$BC$500,35,FALSE),IF(AND(B746=$G$7,pmt_timing="End"),VLOOKUP($B$1,Inventory!$A$1:$BC$500,35,FALSE),0))</f>
        <v>#N/A</v>
      </c>
      <c r="E746" s="78">
        <v>0</v>
      </c>
      <c r="F746" s="78">
        <v>0</v>
      </c>
      <c r="G746" s="78">
        <v>0</v>
      </c>
      <c r="H746" s="78">
        <v>0</v>
      </c>
      <c r="I746" s="78">
        <v>0</v>
      </c>
      <c r="J746" s="78">
        <v>0</v>
      </c>
      <c r="K746" s="78">
        <v>0</v>
      </c>
      <c r="L746" s="36" t="e">
        <f t="shared" ca="1" si="154"/>
        <v>#N/A</v>
      </c>
      <c r="M746" s="37" t="e">
        <f t="shared" ca="1" si="155"/>
        <v>#N/A</v>
      </c>
      <c r="N746" s="37" t="e">
        <f t="shared" ca="1" si="159"/>
        <v>#N/A</v>
      </c>
      <c r="P746" s="35" t="e">
        <f t="shared" ca="1" si="162"/>
        <v>#N/A</v>
      </c>
      <c r="Q746" s="59" t="e">
        <f t="shared" ca="1" si="160"/>
        <v>#N/A</v>
      </c>
      <c r="R746" s="44" t="e">
        <f t="shared" ca="1" si="156"/>
        <v>#N/A</v>
      </c>
      <c r="S746" s="37" t="e">
        <f ca="1">IF(P746="","",IF(P746="Total",SUM($S$19:S745),VLOOKUP($P746,$B$12:$L810,11,FALSE)))</f>
        <v>#N/A</v>
      </c>
      <c r="T746" s="44" t="e">
        <f ca="1">IF(payfreq="Annually",IF(P746="","",IF(P746="Total",SUM($T$19:T745),Adj_Rate*$R746)),IF(payfreq="Semiannually",IF(P746="","",IF(P746="Total",SUM($T$19:T745),Adj_Rate/2*$R746)),IF(payfreq="Quarterly",IF(P746="","",IF(P746="Total",SUM($T$19:T745),Adj_Rate/4*$R746)),IF(payfreq="Monthly",IF(P746="","",IF(P746="Total",SUM($T$19:T745),Adj_Rate/12*$R746)),""))))</f>
        <v>#N/A</v>
      </c>
      <c r="U746" s="37" t="e">
        <f t="shared" ca="1" si="157"/>
        <v>#N/A</v>
      </c>
      <c r="V746" s="44" t="e">
        <f t="shared" ca="1" si="158"/>
        <v>#N/A</v>
      </c>
    </row>
    <row r="747" spans="2:22">
      <c r="B747" s="38" t="e">
        <f t="shared" ca="1" si="161"/>
        <v>#N/A</v>
      </c>
      <c r="C747" s="77" t="e">
        <f t="shared" ca="1" si="153"/>
        <v>#N/A</v>
      </c>
      <c r="D747" s="78" t="e">
        <f ca="1">+IF(AND(B747&lt;$G$7),VLOOKUP($B$1,Inventory!$A$1:$BC$500,35,FALSE),IF(AND(B747=$G$7,pmt_timing="End"),VLOOKUP($B$1,Inventory!$A$1:$BC$500,35,FALSE),0))</f>
        <v>#N/A</v>
      </c>
      <c r="E747" s="78">
        <v>0</v>
      </c>
      <c r="F747" s="78">
        <v>0</v>
      </c>
      <c r="G747" s="78">
        <v>0</v>
      </c>
      <c r="H747" s="78">
        <v>0</v>
      </c>
      <c r="I747" s="78">
        <v>0</v>
      </c>
      <c r="J747" s="78">
        <v>0</v>
      </c>
      <c r="K747" s="78">
        <v>0</v>
      </c>
      <c r="L747" s="36" t="e">
        <f t="shared" ca="1" si="154"/>
        <v>#N/A</v>
      </c>
      <c r="M747" s="37" t="e">
        <f t="shared" ca="1" si="155"/>
        <v>#N/A</v>
      </c>
      <c r="N747" s="37" t="e">
        <f t="shared" ca="1" si="159"/>
        <v>#N/A</v>
      </c>
      <c r="P747" s="35" t="e">
        <f t="shared" ca="1" si="162"/>
        <v>#N/A</v>
      </c>
      <c r="Q747" s="59" t="e">
        <f t="shared" ca="1" si="160"/>
        <v>#N/A</v>
      </c>
      <c r="R747" s="44" t="e">
        <f t="shared" ca="1" si="156"/>
        <v>#N/A</v>
      </c>
      <c r="S747" s="37" t="e">
        <f ca="1">IF(P747="","",IF(P747="Total",SUM($S$19:S746),VLOOKUP($P747,$B$12:$L811,11,FALSE)))</f>
        <v>#N/A</v>
      </c>
      <c r="T747" s="44" t="e">
        <f ca="1">IF(payfreq="Annually",IF(P747="","",IF(P747="Total",SUM($T$19:T746),Adj_Rate*$R747)),IF(payfreq="Semiannually",IF(P747="","",IF(P747="Total",SUM($T$19:T746),Adj_Rate/2*$R747)),IF(payfreq="Quarterly",IF(P747="","",IF(P747="Total",SUM($T$19:T746),Adj_Rate/4*$R747)),IF(payfreq="Monthly",IF(P747="","",IF(P747="Total",SUM($T$19:T746),Adj_Rate/12*$R747)),""))))</f>
        <v>#N/A</v>
      </c>
      <c r="U747" s="37" t="e">
        <f t="shared" ca="1" si="157"/>
        <v>#N/A</v>
      </c>
      <c r="V747" s="44" t="e">
        <f t="shared" ca="1" si="158"/>
        <v>#N/A</v>
      </c>
    </row>
    <row r="748" spans="2:22">
      <c r="B748" s="38" t="e">
        <f t="shared" ca="1" si="161"/>
        <v>#N/A</v>
      </c>
      <c r="C748" s="77" t="e">
        <f t="shared" ca="1" si="153"/>
        <v>#N/A</v>
      </c>
      <c r="D748" s="78" t="e">
        <f ca="1">+IF(AND(B748&lt;$G$7),VLOOKUP($B$1,Inventory!$A$1:$BC$500,35,FALSE),IF(AND(B748=$G$7,pmt_timing="End"),VLOOKUP($B$1,Inventory!$A$1:$BC$500,35,FALSE),0))</f>
        <v>#N/A</v>
      </c>
      <c r="E748" s="78">
        <v>0</v>
      </c>
      <c r="F748" s="78">
        <v>0</v>
      </c>
      <c r="G748" s="78">
        <v>0</v>
      </c>
      <c r="H748" s="78">
        <v>0</v>
      </c>
      <c r="I748" s="78">
        <v>0</v>
      </c>
      <c r="J748" s="78">
        <v>0</v>
      </c>
      <c r="K748" s="78">
        <v>0</v>
      </c>
      <c r="L748" s="36" t="e">
        <f t="shared" ca="1" si="154"/>
        <v>#N/A</v>
      </c>
      <c r="M748" s="37" t="e">
        <f t="shared" ca="1" si="155"/>
        <v>#N/A</v>
      </c>
      <c r="N748" s="37" t="e">
        <f t="shared" ca="1" si="159"/>
        <v>#N/A</v>
      </c>
      <c r="P748" s="35" t="e">
        <f t="shared" ca="1" si="162"/>
        <v>#N/A</v>
      </c>
      <c r="Q748" s="59" t="e">
        <f t="shared" ca="1" si="160"/>
        <v>#N/A</v>
      </c>
      <c r="R748" s="44" t="e">
        <f t="shared" ca="1" si="156"/>
        <v>#N/A</v>
      </c>
      <c r="S748" s="37" t="e">
        <f ca="1">IF(P748="","",IF(P748="Total",SUM($S$19:S747),VLOOKUP($P748,$B$12:$L812,11,FALSE)))</f>
        <v>#N/A</v>
      </c>
      <c r="T748" s="44" t="e">
        <f ca="1">IF(payfreq="Annually",IF(P748="","",IF(P748="Total",SUM($T$19:T747),Adj_Rate*$R748)),IF(payfreq="Semiannually",IF(P748="","",IF(P748="Total",SUM($T$19:T747),Adj_Rate/2*$R748)),IF(payfreq="Quarterly",IF(P748="","",IF(P748="Total",SUM($T$19:T747),Adj_Rate/4*$R748)),IF(payfreq="Monthly",IF(P748="","",IF(P748="Total",SUM($T$19:T747),Adj_Rate/12*$R748)),""))))</f>
        <v>#N/A</v>
      </c>
      <c r="U748" s="37" t="e">
        <f t="shared" ca="1" si="157"/>
        <v>#N/A</v>
      </c>
      <c r="V748" s="44" t="e">
        <f t="shared" ca="1" si="158"/>
        <v>#N/A</v>
      </c>
    </row>
    <row r="749" spans="2:22">
      <c r="B749" s="38" t="e">
        <f t="shared" ca="1" si="161"/>
        <v>#N/A</v>
      </c>
      <c r="C749" s="77" t="e">
        <f t="shared" ref="C749:C769" ca="1" si="163">IF(Q749 &lt;&gt; "",Q749, "")</f>
        <v>#N/A</v>
      </c>
      <c r="D749" s="78" t="e">
        <f ca="1">+IF(AND(B749&lt;$G$7),VLOOKUP($B$1,Inventory!$A$1:$BC$500,35,FALSE),IF(AND(B749=$G$7,pmt_timing="End"),VLOOKUP($B$1,Inventory!$A$1:$BC$500,35,FALSE),0))</f>
        <v>#N/A</v>
      </c>
      <c r="E749" s="78">
        <v>0</v>
      </c>
      <c r="F749" s="78">
        <v>0</v>
      </c>
      <c r="G749" s="78">
        <v>0</v>
      </c>
      <c r="H749" s="78">
        <v>0</v>
      </c>
      <c r="I749" s="78">
        <v>0</v>
      </c>
      <c r="J749" s="78">
        <v>0</v>
      </c>
      <c r="K749" s="78">
        <v>0</v>
      </c>
      <c r="L749" s="36" t="e">
        <f t="shared" ref="L749:L769" ca="1" si="164">SUM(D749:K749)</f>
        <v>#N/A</v>
      </c>
      <c r="M749" s="37" t="e">
        <f t="shared" ref="M749:M769" ca="1" si="165">IF(pmt_timing="End",IF($B749&gt;term, "",$L749/(1+Adj_Rate/12)^B749),"")</f>
        <v>#N/A</v>
      </c>
      <c r="N749" s="37" t="e">
        <f t="shared" ca="1" si="159"/>
        <v>#N/A</v>
      </c>
      <c r="P749" s="35" t="e">
        <f t="shared" ca="1" si="162"/>
        <v>#N/A</v>
      </c>
      <c r="Q749" s="59" t="e">
        <f t="shared" ca="1" si="160"/>
        <v>#N/A</v>
      </c>
      <c r="R749" s="44" t="e">
        <f t="shared" ref="R749:R769" ca="1" si="166">IF(OR(P749="",P749="Total"),"",V748)</f>
        <v>#N/A</v>
      </c>
      <c r="S749" s="37" t="e">
        <f ca="1">IF(P749="","",IF(P749="Total",SUM($S$19:S748),VLOOKUP($P749,$B$12:$L813,11,FALSE)))</f>
        <v>#N/A</v>
      </c>
      <c r="T749" s="44" t="e">
        <f ca="1">IF(payfreq="Annually",IF(P749="","",IF(P749="Total",SUM($T$19:T748),Adj_Rate*$R749)),IF(payfreq="Semiannually",IF(P749="","",IF(P749="Total",SUM($T$19:T748),Adj_Rate/2*$R749)),IF(payfreq="Quarterly",IF(P749="","",IF(P749="Total",SUM($T$19:T748),Adj_Rate/4*$R749)),IF(payfreq="Monthly",IF(P749="","",IF(P749="Total",SUM($T$19:T748),Adj_Rate/12*$R749)),""))))</f>
        <v>#N/A</v>
      </c>
      <c r="U749" s="37" t="e">
        <f t="shared" ref="U749:U769" ca="1" si="167">+IF(S749="","",S749-T749)</f>
        <v>#N/A</v>
      </c>
      <c r="V749" s="44" t="e">
        <f t="shared" ref="V749:V769" ca="1" si="168">IF(OR(P749="",P749="Total"),"",R749+T749-S749)</f>
        <v>#N/A</v>
      </c>
    </row>
    <row r="750" spans="2:22">
      <c r="B750" s="38" t="e">
        <f t="shared" ca="1" si="161"/>
        <v>#N/A</v>
      </c>
      <c r="C750" s="77" t="e">
        <f t="shared" ca="1" si="163"/>
        <v>#N/A</v>
      </c>
      <c r="D750" s="78" t="e">
        <f ca="1">+IF(AND(B750&lt;$G$7),VLOOKUP($B$1,Inventory!$A$1:$BC$500,35,FALSE),IF(AND(B750=$G$7,pmt_timing="End"),VLOOKUP($B$1,Inventory!$A$1:$BC$500,35,FALSE),0))</f>
        <v>#N/A</v>
      </c>
      <c r="E750" s="78">
        <v>0</v>
      </c>
      <c r="F750" s="78">
        <v>0</v>
      </c>
      <c r="G750" s="78">
        <v>0</v>
      </c>
      <c r="H750" s="78">
        <v>0</v>
      </c>
      <c r="I750" s="78">
        <v>0</v>
      </c>
      <c r="J750" s="78">
        <v>0</v>
      </c>
      <c r="K750" s="78">
        <v>0</v>
      </c>
      <c r="L750" s="36" t="e">
        <f t="shared" ca="1" si="164"/>
        <v>#N/A</v>
      </c>
      <c r="M750" s="37" t="e">
        <f t="shared" ca="1" si="165"/>
        <v>#N/A</v>
      </c>
      <c r="N750" s="37" t="e">
        <f t="shared" ca="1" si="159"/>
        <v>#N/A</v>
      </c>
      <c r="P750" s="35" t="e">
        <f t="shared" ca="1" si="162"/>
        <v>#N/A</v>
      </c>
      <c r="Q750" s="59" t="e">
        <f t="shared" ca="1" si="160"/>
        <v>#N/A</v>
      </c>
      <c r="R750" s="44" t="e">
        <f t="shared" ca="1" si="166"/>
        <v>#N/A</v>
      </c>
      <c r="S750" s="37" t="e">
        <f ca="1">IF(P750="","",IF(P750="Total",SUM($S$19:S749),VLOOKUP($P750,$B$12:$L814,11,FALSE)))</f>
        <v>#N/A</v>
      </c>
      <c r="T750" s="44" t="e">
        <f ca="1">IF(payfreq="Annually",IF(P750="","",IF(P750="Total",SUM($T$19:T749),Adj_Rate*$R750)),IF(payfreq="Semiannually",IF(P750="","",IF(P750="Total",SUM($T$19:T749),Adj_Rate/2*$R750)),IF(payfreq="Quarterly",IF(P750="","",IF(P750="Total",SUM($T$19:T749),Adj_Rate/4*$R750)),IF(payfreq="Monthly",IF(P750="","",IF(P750="Total",SUM($T$19:T749),Adj_Rate/12*$R750)),""))))</f>
        <v>#N/A</v>
      </c>
      <c r="U750" s="37" t="e">
        <f t="shared" ca="1" si="167"/>
        <v>#N/A</v>
      </c>
      <c r="V750" s="44" t="e">
        <f t="shared" ca="1" si="168"/>
        <v>#N/A</v>
      </c>
    </row>
    <row r="751" spans="2:22">
      <c r="B751" s="38" t="e">
        <f t="shared" ca="1" si="161"/>
        <v>#N/A</v>
      </c>
      <c r="C751" s="77" t="e">
        <f t="shared" ca="1" si="163"/>
        <v>#N/A</v>
      </c>
      <c r="D751" s="78" t="e">
        <f ca="1">+IF(AND(B751&lt;$G$7),VLOOKUP($B$1,Inventory!$A$1:$BC$500,35,FALSE),IF(AND(B751=$G$7,pmt_timing="End"),VLOOKUP($B$1,Inventory!$A$1:$BC$500,35,FALSE),0))</f>
        <v>#N/A</v>
      </c>
      <c r="E751" s="78">
        <v>0</v>
      </c>
      <c r="F751" s="78">
        <v>0</v>
      </c>
      <c r="G751" s="78">
        <v>0</v>
      </c>
      <c r="H751" s="78">
        <v>0</v>
      </c>
      <c r="I751" s="78">
        <v>0</v>
      </c>
      <c r="J751" s="78">
        <v>0</v>
      </c>
      <c r="K751" s="78">
        <v>0</v>
      </c>
      <c r="L751" s="36" t="e">
        <f t="shared" ca="1" si="164"/>
        <v>#N/A</v>
      </c>
      <c r="M751" s="37" t="e">
        <f t="shared" ca="1" si="165"/>
        <v>#N/A</v>
      </c>
      <c r="N751" s="37" t="e">
        <f t="shared" ca="1" si="159"/>
        <v>#N/A</v>
      </c>
      <c r="P751" s="35" t="e">
        <f t="shared" ca="1" si="162"/>
        <v>#N/A</v>
      </c>
      <c r="Q751" s="59" t="e">
        <f t="shared" ca="1" si="160"/>
        <v>#N/A</v>
      </c>
      <c r="R751" s="44" t="e">
        <f t="shared" ca="1" si="166"/>
        <v>#N/A</v>
      </c>
      <c r="S751" s="37" t="e">
        <f ca="1">IF(P751="","",IF(P751="Total",SUM($S$19:S750),VLOOKUP($P751,$B$12:$L815,11,FALSE)))</f>
        <v>#N/A</v>
      </c>
      <c r="T751" s="44" t="e">
        <f ca="1">IF(payfreq="Annually",IF(P751="","",IF(P751="Total",SUM($T$19:T750),Adj_Rate*$R751)),IF(payfreq="Semiannually",IF(P751="","",IF(P751="Total",SUM($T$19:T750),Adj_Rate/2*$R751)),IF(payfreq="Quarterly",IF(P751="","",IF(P751="Total",SUM($T$19:T750),Adj_Rate/4*$R751)),IF(payfreq="Monthly",IF(P751="","",IF(P751="Total",SUM($T$19:T750),Adj_Rate/12*$R751)),""))))</f>
        <v>#N/A</v>
      </c>
      <c r="U751" s="37" t="e">
        <f t="shared" ca="1" si="167"/>
        <v>#N/A</v>
      </c>
      <c r="V751" s="44" t="e">
        <f t="shared" ca="1" si="168"/>
        <v>#N/A</v>
      </c>
    </row>
    <row r="752" spans="2:22">
      <c r="B752" s="38" t="e">
        <f t="shared" ca="1" si="161"/>
        <v>#N/A</v>
      </c>
      <c r="C752" s="77" t="e">
        <f t="shared" ca="1" si="163"/>
        <v>#N/A</v>
      </c>
      <c r="D752" s="78" t="e">
        <f ca="1">+IF(AND(B752&lt;$G$7),VLOOKUP($B$1,Inventory!$A$1:$BC$500,35,FALSE),IF(AND(B752=$G$7,pmt_timing="End"),VLOOKUP($B$1,Inventory!$A$1:$BC$500,35,FALSE),0))</f>
        <v>#N/A</v>
      </c>
      <c r="E752" s="78">
        <v>0</v>
      </c>
      <c r="F752" s="78">
        <v>0</v>
      </c>
      <c r="G752" s="78">
        <v>0</v>
      </c>
      <c r="H752" s="78">
        <v>0</v>
      </c>
      <c r="I752" s="78">
        <v>0</v>
      </c>
      <c r="J752" s="78">
        <v>0</v>
      </c>
      <c r="K752" s="78">
        <v>0</v>
      </c>
      <c r="L752" s="36" t="e">
        <f t="shared" ca="1" si="164"/>
        <v>#N/A</v>
      </c>
      <c r="M752" s="37" t="e">
        <f t="shared" ca="1" si="165"/>
        <v>#N/A</v>
      </c>
      <c r="N752" s="37" t="e">
        <f t="shared" ca="1" si="159"/>
        <v>#N/A</v>
      </c>
      <c r="P752" s="35" t="e">
        <f t="shared" ca="1" si="162"/>
        <v>#N/A</v>
      </c>
      <c r="Q752" s="59" t="e">
        <f t="shared" ca="1" si="160"/>
        <v>#N/A</v>
      </c>
      <c r="R752" s="44" t="e">
        <f t="shared" ca="1" si="166"/>
        <v>#N/A</v>
      </c>
      <c r="S752" s="37" t="e">
        <f ca="1">IF(P752="","",IF(P752="Total",SUM($S$19:S751),VLOOKUP($P752,$B$12:$L816,11,FALSE)))</f>
        <v>#N/A</v>
      </c>
      <c r="T752" s="44" t="e">
        <f ca="1">IF(payfreq="Annually",IF(P752="","",IF(P752="Total",SUM($T$19:T751),Adj_Rate*$R752)),IF(payfreq="Semiannually",IF(P752="","",IF(P752="Total",SUM($T$19:T751),Adj_Rate/2*$R752)),IF(payfreq="Quarterly",IF(P752="","",IF(P752="Total",SUM($T$19:T751),Adj_Rate/4*$R752)),IF(payfreq="Monthly",IF(P752="","",IF(P752="Total",SUM($T$19:T751),Adj_Rate/12*$R752)),""))))</f>
        <v>#N/A</v>
      </c>
      <c r="U752" s="37" t="e">
        <f t="shared" ca="1" si="167"/>
        <v>#N/A</v>
      </c>
      <c r="V752" s="44" t="e">
        <f t="shared" ca="1" si="168"/>
        <v>#N/A</v>
      </c>
    </row>
    <row r="753" spans="2:22">
      <c r="B753" s="38" t="e">
        <f t="shared" ca="1" si="161"/>
        <v>#N/A</v>
      </c>
      <c r="C753" s="77" t="e">
        <f t="shared" ca="1" si="163"/>
        <v>#N/A</v>
      </c>
      <c r="D753" s="78" t="e">
        <f ca="1">+IF(AND(B753&lt;$G$7),VLOOKUP($B$1,Inventory!$A$1:$BC$500,35,FALSE),IF(AND(B753=$G$7,pmt_timing="End"),VLOOKUP($B$1,Inventory!$A$1:$BC$500,35,FALSE),0))</f>
        <v>#N/A</v>
      </c>
      <c r="E753" s="78">
        <v>0</v>
      </c>
      <c r="F753" s="78">
        <v>0</v>
      </c>
      <c r="G753" s="78">
        <v>0</v>
      </c>
      <c r="H753" s="78">
        <v>0</v>
      </c>
      <c r="I753" s="78">
        <v>0</v>
      </c>
      <c r="J753" s="78">
        <v>0</v>
      </c>
      <c r="K753" s="78">
        <v>0</v>
      </c>
      <c r="L753" s="36" t="e">
        <f t="shared" ca="1" si="164"/>
        <v>#N/A</v>
      </c>
      <c r="M753" s="37" t="e">
        <f t="shared" ca="1" si="165"/>
        <v>#N/A</v>
      </c>
      <c r="N753" s="37" t="e">
        <f t="shared" ca="1" si="159"/>
        <v>#N/A</v>
      </c>
      <c r="P753" s="35" t="e">
        <f t="shared" ca="1" si="162"/>
        <v>#N/A</v>
      </c>
      <c r="Q753" s="59" t="e">
        <f t="shared" ca="1" si="160"/>
        <v>#N/A</v>
      </c>
      <c r="R753" s="44" t="e">
        <f t="shared" ca="1" si="166"/>
        <v>#N/A</v>
      </c>
      <c r="S753" s="37" t="e">
        <f ca="1">IF(P753="","",IF(P753="Total",SUM($S$19:S752),VLOOKUP($P753,$B$12:$L817,11,FALSE)))</f>
        <v>#N/A</v>
      </c>
      <c r="T753" s="44" t="e">
        <f ca="1">IF(payfreq="Annually",IF(P753="","",IF(P753="Total",SUM($T$19:T752),Adj_Rate*$R753)),IF(payfreq="Semiannually",IF(P753="","",IF(P753="Total",SUM($T$19:T752),Adj_Rate/2*$R753)),IF(payfreq="Quarterly",IF(P753="","",IF(P753="Total",SUM($T$19:T752),Adj_Rate/4*$R753)),IF(payfreq="Monthly",IF(P753="","",IF(P753="Total",SUM($T$19:T752),Adj_Rate/12*$R753)),""))))</f>
        <v>#N/A</v>
      </c>
      <c r="U753" s="37" t="e">
        <f t="shared" ca="1" si="167"/>
        <v>#N/A</v>
      </c>
      <c r="V753" s="44" t="e">
        <f t="shared" ca="1" si="168"/>
        <v>#N/A</v>
      </c>
    </row>
    <row r="754" spans="2:22">
      <c r="B754" s="38" t="e">
        <f t="shared" ca="1" si="161"/>
        <v>#N/A</v>
      </c>
      <c r="C754" s="77" t="e">
        <f t="shared" ca="1" si="163"/>
        <v>#N/A</v>
      </c>
      <c r="D754" s="78" t="e">
        <f ca="1">+IF(AND(B754&lt;$G$7),VLOOKUP($B$1,Inventory!$A$1:$BC$500,35,FALSE),IF(AND(B754=$G$7,pmt_timing="End"),VLOOKUP($B$1,Inventory!$A$1:$BC$500,35,FALSE),0))</f>
        <v>#N/A</v>
      </c>
      <c r="E754" s="78">
        <v>0</v>
      </c>
      <c r="F754" s="78">
        <v>0</v>
      </c>
      <c r="G754" s="78">
        <v>0</v>
      </c>
      <c r="H754" s="78">
        <v>0</v>
      </c>
      <c r="I754" s="78">
        <v>0</v>
      </c>
      <c r="J754" s="78">
        <v>0</v>
      </c>
      <c r="K754" s="78">
        <v>0</v>
      </c>
      <c r="L754" s="36" t="e">
        <f t="shared" ca="1" si="164"/>
        <v>#N/A</v>
      </c>
      <c r="M754" s="37" t="e">
        <f t="shared" ca="1" si="165"/>
        <v>#N/A</v>
      </c>
      <c r="N754" s="37" t="e">
        <f t="shared" ca="1" si="159"/>
        <v>#N/A</v>
      </c>
      <c r="P754" s="35" t="e">
        <f t="shared" ca="1" si="162"/>
        <v>#N/A</v>
      </c>
      <c r="Q754" s="59" t="e">
        <f t="shared" ca="1" si="160"/>
        <v>#N/A</v>
      </c>
      <c r="R754" s="44" t="e">
        <f t="shared" ca="1" si="166"/>
        <v>#N/A</v>
      </c>
      <c r="S754" s="37" t="e">
        <f ca="1">IF(P754="","",IF(P754="Total",SUM($S$19:S753),VLOOKUP($P754,$B$12:$L818,11,FALSE)))</f>
        <v>#N/A</v>
      </c>
      <c r="T754" s="44" t="e">
        <f ca="1">IF(payfreq="Annually",IF(P754="","",IF(P754="Total",SUM($T$19:T753),Adj_Rate*$R754)),IF(payfreq="Semiannually",IF(P754="","",IF(P754="Total",SUM($T$19:T753),Adj_Rate/2*$R754)),IF(payfreq="Quarterly",IF(P754="","",IF(P754="Total",SUM($T$19:T753),Adj_Rate/4*$R754)),IF(payfreq="Monthly",IF(P754="","",IF(P754="Total",SUM($T$19:T753),Adj_Rate/12*$R754)),""))))</f>
        <v>#N/A</v>
      </c>
      <c r="U754" s="37" t="e">
        <f t="shared" ca="1" si="167"/>
        <v>#N/A</v>
      </c>
      <c r="V754" s="44" t="e">
        <f t="shared" ca="1" si="168"/>
        <v>#N/A</v>
      </c>
    </row>
    <row r="755" spans="2:22">
      <c r="B755" s="38" t="e">
        <f t="shared" ca="1" si="161"/>
        <v>#N/A</v>
      </c>
      <c r="C755" s="77" t="e">
        <f t="shared" ca="1" si="163"/>
        <v>#N/A</v>
      </c>
      <c r="D755" s="78" t="e">
        <f ca="1">+IF(AND(B755&lt;$G$7),VLOOKUP($B$1,Inventory!$A$1:$BC$500,35,FALSE),IF(AND(B755=$G$7,pmt_timing="End"),VLOOKUP($B$1,Inventory!$A$1:$BC$500,35,FALSE),0))</f>
        <v>#N/A</v>
      </c>
      <c r="E755" s="78">
        <v>0</v>
      </c>
      <c r="F755" s="78">
        <v>0</v>
      </c>
      <c r="G755" s="78">
        <v>0</v>
      </c>
      <c r="H755" s="78">
        <v>0</v>
      </c>
      <c r="I755" s="78">
        <v>0</v>
      </c>
      <c r="J755" s="78">
        <v>0</v>
      </c>
      <c r="K755" s="78">
        <v>0</v>
      </c>
      <c r="L755" s="36" t="e">
        <f t="shared" ca="1" si="164"/>
        <v>#N/A</v>
      </c>
      <c r="M755" s="37" t="e">
        <f t="shared" ca="1" si="165"/>
        <v>#N/A</v>
      </c>
      <c r="N755" s="37" t="e">
        <f t="shared" ca="1" si="159"/>
        <v>#N/A</v>
      </c>
      <c r="P755" s="35" t="e">
        <f t="shared" ca="1" si="162"/>
        <v>#N/A</v>
      </c>
      <c r="Q755" s="59" t="e">
        <f t="shared" ca="1" si="160"/>
        <v>#N/A</v>
      </c>
      <c r="R755" s="44" t="e">
        <f t="shared" ca="1" si="166"/>
        <v>#N/A</v>
      </c>
      <c r="S755" s="37" t="e">
        <f ca="1">IF(P755="","",IF(P755="Total",SUM($S$19:S754),VLOOKUP($P755,$B$12:$L819,11,FALSE)))</f>
        <v>#N/A</v>
      </c>
      <c r="T755" s="44" t="e">
        <f ca="1">IF(payfreq="Annually",IF(P755="","",IF(P755="Total",SUM($T$19:T754),Adj_Rate*$R755)),IF(payfreq="Semiannually",IF(P755="","",IF(P755="Total",SUM($T$19:T754),Adj_Rate/2*$R755)),IF(payfreq="Quarterly",IF(P755="","",IF(P755="Total",SUM($T$19:T754),Adj_Rate/4*$R755)),IF(payfreq="Monthly",IF(P755="","",IF(P755="Total",SUM($T$19:T754),Adj_Rate/12*$R755)),""))))</f>
        <v>#N/A</v>
      </c>
      <c r="U755" s="37" t="e">
        <f t="shared" ca="1" si="167"/>
        <v>#N/A</v>
      </c>
      <c r="V755" s="44" t="e">
        <f t="shared" ca="1" si="168"/>
        <v>#N/A</v>
      </c>
    </row>
    <row r="756" spans="2:22">
      <c r="B756" s="38" t="e">
        <f t="shared" ca="1" si="161"/>
        <v>#N/A</v>
      </c>
      <c r="C756" s="77" t="e">
        <f t="shared" ca="1" si="163"/>
        <v>#N/A</v>
      </c>
      <c r="D756" s="78" t="e">
        <f ca="1">+IF(AND(B756&lt;$G$7),VLOOKUP($B$1,Inventory!$A$1:$BC$500,35,FALSE),IF(AND(B756=$G$7,pmt_timing="End"),VLOOKUP($B$1,Inventory!$A$1:$BC$500,35,FALSE),0))</f>
        <v>#N/A</v>
      </c>
      <c r="E756" s="78">
        <v>0</v>
      </c>
      <c r="F756" s="78">
        <v>0</v>
      </c>
      <c r="G756" s="78">
        <v>0</v>
      </c>
      <c r="H756" s="78">
        <v>0</v>
      </c>
      <c r="I756" s="78">
        <v>0</v>
      </c>
      <c r="J756" s="78">
        <v>0</v>
      </c>
      <c r="K756" s="78">
        <v>0</v>
      </c>
      <c r="L756" s="36" t="e">
        <f t="shared" ca="1" si="164"/>
        <v>#N/A</v>
      </c>
      <c r="M756" s="37" t="e">
        <f t="shared" ca="1" si="165"/>
        <v>#N/A</v>
      </c>
      <c r="N756" s="37" t="e">
        <f t="shared" ca="1" si="159"/>
        <v>#N/A</v>
      </c>
      <c r="P756" s="35" t="e">
        <f t="shared" ca="1" si="162"/>
        <v>#N/A</v>
      </c>
      <c r="Q756" s="59" t="e">
        <f t="shared" ca="1" si="160"/>
        <v>#N/A</v>
      </c>
      <c r="R756" s="44" t="e">
        <f t="shared" ca="1" si="166"/>
        <v>#N/A</v>
      </c>
      <c r="S756" s="37" t="e">
        <f ca="1">IF(P756="","",IF(P756="Total",SUM($S$19:S755),VLOOKUP($P756,$B$12:$L820,11,FALSE)))</f>
        <v>#N/A</v>
      </c>
      <c r="T756" s="44" t="e">
        <f ca="1">IF(payfreq="Annually",IF(P756="","",IF(P756="Total",SUM($T$19:T755),Adj_Rate*$R756)),IF(payfreq="Semiannually",IF(P756="","",IF(P756="Total",SUM($T$19:T755),Adj_Rate/2*$R756)),IF(payfreq="Quarterly",IF(P756="","",IF(P756="Total",SUM($T$19:T755),Adj_Rate/4*$R756)),IF(payfreq="Monthly",IF(P756="","",IF(P756="Total",SUM($T$19:T755),Adj_Rate/12*$R756)),""))))</f>
        <v>#N/A</v>
      </c>
      <c r="U756" s="37" t="e">
        <f t="shared" ca="1" si="167"/>
        <v>#N/A</v>
      </c>
      <c r="V756" s="44" t="e">
        <f t="shared" ca="1" si="168"/>
        <v>#N/A</v>
      </c>
    </row>
    <row r="757" spans="2:22">
      <c r="B757" s="38" t="e">
        <f t="shared" ca="1" si="161"/>
        <v>#N/A</v>
      </c>
      <c r="C757" s="77" t="e">
        <f t="shared" ca="1" si="163"/>
        <v>#N/A</v>
      </c>
      <c r="D757" s="78" t="e">
        <f ca="1">+IF(AND(B757&lt;$G$7),VLOOKUP($B$1,Inventory!$A$1:$BC$500,35,FALSE),IF(AND(B757=$G$7,pmt_timing="End"),VLOOKUP($B$1,Inventory!$A$1:$BC$500,35,FALSE),0))</f>
        <v>#N/A</v>
      </c>
      <c r="E757" s="78">
        <v>0</v>
      </c>
      <c r="F757" s="78">
        <v>0</v>
      </c>
      <c r="G757" s="78">
        <v>0</v>
      </c>
      <c r="H757" s="78">
        <v>0</v>
      </c>
      <c r="I757" s="78">
        <v>0</v>
      </c>
      <c r="J757" s="78">
        <v>0</v>
      </c>
      <c r="K757" s="78">
        <v>0</v>
      </c>
      <c r="L757" s="36" t="e">
        <f t="shared" ca="1" si="164"/>
        <v>#N/A</v>
      </c>
      <c r="M757" s="37" t="e">
        <f t="shared" ca="1" si="165"/>
        <v>#N/A</v>
      </c>
      <c r="N757" s="37" t="e">
        <f t="shared" ca="1" si="159"/>
        <v>#N/A</v>
      </c>
      <c r="P757" s="35" t="e">
        <f t="shared" ca="1" si="162"/>
        <v>#N/A</v>
      </c>
      <c r="Q757" s="59" t="e">
        <f t="shared" ca="1" si="160"/>
        <v>#N/A</v>
      </c>
      <c r="R757" s="44" t="e">
        <f t="shared" ca="1" si="166"/>
        <v>#N/A</v>
      </c>
      <c r="S757" s="37" t="e">
        <f ca="1">IF(P757="","",IF(P757="Total",SUM($S$19:S756),VLOOKUP($P757,$B$12:$L821,11,FALSE)))</f>
        <v>#N/A</v>
      </c>
      <c r="T757" s="44" t="e">
        <f ca="1">IF(payfreq="Annually",IF(P757="","",IF(P757="Total",SUM($T$19:T756),Adj_Rate*$R757)),IF(payfreq="Semiannually",IF(P757="","",IF(P757="Total",SUM($T$19:T756),Adj_Rate/2*$R757)),IF(payfreq="Quarterly",IF(P757="","",IF(P757="Total",SUM($T$19:T756),Adj_Rate/4*$R757)),IF(payfreq="Monthly",IF(P757="","",IF(P757="Total",SUM($T$19:T756),Adj_Rate/12*$R757)),""))))</f>
        <v>#N/A</v>
      </c>
      <c r="U757" s="37" t="e">
        <f t="shared" ca="1" si="167"/>
        <v>#N/A</v>
      </c>
      <c r="V757" s="44" t="e">
        <f t="shared" ca="1" si="168"/>
        <v>#N/A</v>
      </c>
    </row>
    <row r="758" spans="2:22">
      <c r="B758" s="38" t="e">
        <f t="shared" ca="1" si="161"/>
        <v>#N/A</v>
      </c>
      <c r="C758" s="77" t="e">
        <f t="shared" ca="1" si="163"/>
        <v>#N/A</v>
      </c>
      <c r="D758" s="78" t="e">
        <f ca="1">+IF(AND(B758&lt;$G$7),VLOOKUP($B$1,Inventory!$A$1:$BC$500,35,FALSE),IF(AND(B758=$G$7,pmt_timing="End"),VLOOKUP($B$1,Inventory!$A$1:$BC$500,35,FALSE),0))</f>
        <v>#N/A</v>
      </c>
      <c r="E758" s="78">
        <v>0</v>
      </c>
      <c r="F758" s="78">
        <v>0</v>
      </c>
      <c r="G758" s="78">
        <v>0</v>
      </c>
      <c r="H758" s="78">
        <v>0</v>
      </c>
      <c r="I758" s="78">
        <v>0</v>
      </c>
      <c r="J758" s="78">
        <v>0</v>
      </c>
      <c r="K758" s="78">
        <v>0</v>
      </c>
      <c r="L758" s="36" t="e">
        <f t="shared" ca="1" si="164"/>
        <v>#N/A</v>
      </c>
      <c r="M758" s="37" t="e">
        <f t="shared" ca="1" si="165"/>
        <v>#N/A</v>
      </c>
      <c r="N758" s="37" t="e">
        <f t="shared" ca="1" si="159"/>
        <v>#N/A</v>
      </c>
      <c r="P758" s="35" t="e">
        <f t="shared" ca="1" si="162"/>
        <v>#N/A</v>
      </c>
      <c r="Q758" s="59" t="e">
        <f t="shared" ca="1" si="160"/>
        <v>#N/A</v>
      </c>
      <c r="R758" s="44" t="e">
        <f t="shared" ca="1" si="166"/>
        <v>#N/A</v>
      </c>
      <c r="S758" s="37" t="e">
        <f ca="1">IF(P758="","",IF(P758="Total",SUM($S$19:S757),VLOOKUP($P758,$B$12:$L822,11,FALSE)))</f>
        <v>#N/A</v>
      </c>
      <c r="T758" s="44" t="e">
        <f ca="1">IF(payfreq="Annually",IF(P758="","",IF(P758="Total",SUM($T$19:T757),Adj_Rate*$R758)),IF(payfreq="Semiannually",IF(P758="","",IF(P758="Total",SUM($T$19:T757),Adj_Rate/2*$R758)),IF(payfreq="Quarterly",IF(P758="","",IF(P758="Total",SUM($T$19:T757),Adj_Rate/4*$R758)),IF(payfreq="Monthly",IF(P758="","",IF(P758="Total",SUM($T$19:T757),Adj_Rate/12*$R758)),""))))</f>
        <v>#N/A</v>
      </c>
      <c r="U758" s="37" t="e">
        <f t="shared" ca="1" si="167"/>
        <v>#N/A</v>
      </c>
      <c r="V758" s="44" t="e">
        <f t="shared" ca="1" si="168"/>
        <v>#N/A</v>
      </c>
    </row>
    <row r="759" spans="2:22">
      <c r="B759" s="38" t="e">
        <f t="shared" ca="1" si="161"/>
        <v>#N/A</v>
      </c>
      <c r="C759" s="77" t="e">
        <f t="shared" ca="1" si="163"/>
        <v>#N/A</v>
      </c>
      <c r="D759" s="78" t="e">
        <f ca="1">+IF(AND(B759&lt;$G$7),VLOOKUP($B$1,Inventory!$A$1:$BC$500,35,FALSE),IF(AND(B759=$G$7,pmt_timing="End"),VLOOKUP($B$1,Inventory!$A$1:$BC$500,35,FALSE),0))</f>
        <v>#N/A</v>
      </c>
      <c r="E759" s="78">
        <v>0</v>
      </c>
      <c r="F759" s="78">
        <v>0</v>
      </c>
      <c r="G759" s="78">
        <v>0</v>
      </c>
      <c r="H759" s="78">
        <v>0</v>
      </c>
      <c r="I759" s="78">
        <v>0</v>
      </c>
      <c r="J759" s="78">
        <v>0</v>
      </c>
      <c r="K759" s="78">
        <v>0</v>
      </c>
      <c r="L759" s="36" t="e">
        <f t="shared" ca="1" si="164"/>
        <v>#N/A</v>
      </c>
      <c r="M759" s="37" t="e">
        <f t="shared" ca="1" si="165"/>
        <v>#N/A</v>
      </c>
      <c r="N759" s="37" t="e">
        <f t="shared" ca="1" si="159"/>
        <v>#N/A</v>
      </c>
      <c r="P759" s="35" t="e">
        <f t="shared" ca="1" si="162"/>
        <v>#N/A</v>
      </c>
      <c r="Q759" s="59" t="e">
        <f t="shared" ca="1" si="160"/>
        <v>#N/A</v>
      </c>
      <c r="R759" s="44" t="e">
        <f t="shared" ca="1" si="166"/>
        <v>#N/A</v>
      </c>
      <c r="S759" s="37" t="e">
        <f ca="1">IF(P759="","",IF(P759="Total",SUM($S$19:S758),VLOOKUP($P759,$B$12:$L823,11,FALSE)))</f>
        <v>#N/A</v>
      </c>
      <c r="T759" s="44" t="e">
        <f ca="1">IF(payfreq="Annually",IF(P759="","",IF(P759="Total",SUM($T$19:T758),Adj_Rate*$R759)),IF(payfreq="Semiannually",IF(P759="","",IF(P759="Total",SUM($T$19:T758),Adj_Rate/2*$R759)),IF(payfreq="Quarterly",IF(P759="","",IF(P759="Total",SUM($T$19:T758),Adj_Rate/4*$R759)),IF(payfreq="Monthly",IF(P759="","",IF(P759="Total",SUM($T$19:T758),Adj_Rate/12*$R759)),""))))</f>
        <v>#N/A</v>
      </c>
      <c r="U759" s="37" t="e">
        <f t="shared" ca="1" si="167"/>
        <v>#N/A</v>
      </c>
      <c r="V759" s="44" t="e">
        <f t="shared" ca="1" si="168"/>
        <v>#N/A</v>
      </c>
    </row>
    <row r="760" spans="2:22">
      <c r="B760" s="38" t="e">
        <f t="shared" ca="1" si="161"/>
        <v>#N/A</v>
      </c>
      <c r="C760" s="77" t="e">
        <f t="shared" ca="1" si="163"/>
        <v>#N/A</v>
      </c>
      <c r="D760" s="78" t="e">
        <f ca="1">+IF(AND(B760&lt;$G$7),VLOOKUP($B$1,Inventory!$A$1:$BC$500,35,FALSE),IF(AND(B760=$G$7,pmt_timing="End"),VLOOKUP($B$1,Inventory!$A$1:$BC$500,35,FALSE),0))</f>
        <v>#N/A</v>
      </c>
      <c r="E760" s="78">
        <v>0</v>
      </c>
      <c r="F760" s="78">
        <v>0</v>
      </c>
      <c r="G760" s="78">
        <v>0</v>
      </c>
      <c r="H760" s="78">
        <v>0</v>
      </c>
      <c r="I760" s="78">
        <v>0</v>
      </c>
      <c r="J760" s="78">
        <v>0</v>
      </c>
      <c r="K760" s="78">
        <v>0</v>
      </c>
      <c r="L760" s="36" t="e">
        <f t="shared" ca="1" si="164"/>
        <v>#N/A</v>
      </c>
      <c r="M760" s="37" t="e">
        <f t="shared" ca="1" si="165"/>
        <v>#N/A</v>
      </c>
      <c r="N760" s="37" t="e">
        <f t="shared" ca="1" si="159"/>
        <v>#N/A</v>
      </c>
      <c r="P760" s="35" t="e">
        <f t="shared" ca="1" si="162"/>
        <v>#N/A</v>
      </c>
      <c r="Q760" s="59" t="e">
        <f t="shared" ca="1" si="160"/>
        <v>#N/A</v>
      </c>
      <c r="R760" s="44" t="e">
        <f t="shared" ca="1" si="166"/>
        <v>#N/A</v>
      </c>
      <c r="S760" s="37" t="e">
        <f ca="1">IF(P760="","",IF(P760="Total",SUM($S$19:S759),VLOOKUP($P760,$B$12:$L824,11,FALSE)))</f>
        <v>#N/A</v>
      </c>
      <c r="T760" s="44" t="e">
        <f ca="1">IF(payfreq="Annually",IF(P760="","",IF(P760="Total",SUM($T$19:T759),Adj_Rate*$R760)),IF(payfreq="Semiannually",IF(P760="","",IF(P760="Total",SUM($T$19:T759),Adj_Rate/2*$R760)),IF(payfreq="Quarterly",IF(P760="","",IF(P760="Total",SUM($T$19:T759),Adj_Rate/4*$R760)),IF(payfreq="Monthly",IF(P760="","",IF(P760="Total",SUM($T$19:T759),Adj_Rate/12*$R760)),""))))</f>
        <v>#N/A</v>
      </c>
      <c r="U760" s="37" t="e">
        <f t="shared" ca="1" si="167"/>
        <v>#N/A</v>
      </c>
      <c r="V760" s="44" t="e">
        <f t="shared" ca="1" si="168"/>
        <v>#N/A</v>
      </c>
    </row>
    <row r="761" spans="2:22">
      <c r="B761" s="38" t="e">
        <f t="shared" ca="1" si="161"/>
        <v>#N/A</v>
      </c>
      <c r="C761" s="77" t="e">
        <f t="shared" ca="1" si="163"/>
        <v>#N/A</v>
      </c>
      <c r="D761" s="78" t="e">
        <f ca="1">+IF(AND(B761&lt;$G$7),VLOOKUP($B$1,Inventory!$A$1:$BC$500,35,FALSE),IF(AND(B761=$G$7,pmt_timing="End"),VLOOKUP($B$1,Inventory!$A$1:$BC$500,35,FALSE),0))</f>
        <v>#N/A</v>
      </c>
      <c r="E761" s="78">
        <v>0</v>
      </c>
      <c r="F761" s="78">
        <v>0</v>
      </c>
      <c r="G761" s="78">
        <v>0</v>
      </c>
      <c r="H761" s="78">
        <v>0</v>
      </c>
      <c r="I761" s="78">
        <v>0</v>
      </c>
      <c r="J761" s="78">
        <v>0</v>
      </c>
      <c r="K761" s="78">
        <v>0</v>
      </c>
      <c r="L761" s="36" t="e">
        <f t="shared" ca="1" si="164"/>
        <v>#N/A</v>
      </c>
      <c r="M761" s="37" t="e">
        <f t="shared" ca="1" si="165"/>
        <v>#N/A</v>
      </c>
      <c r="N761" s="37" t="e">
        <f t="shared" ca="1" si="159"/>
        <v>#N/A</v>
      </c>
      <c r="P761" s="35" t="e">
        <f t="shared" ca="1" si="162"/>
        <v>#N/A</v>
      </c>
      <c r="Q761" s="59" t="e">
        <f t="shared" ca="1" si="160"/>
        <v>#N/A</v>
      </c>
      <c r="R761" s="44" t="e">
        <f t="shared" ca="1" si="166"/>
        <v>#N/A</v>
      </c>
      <c r="S761" s="37" t="e">
        <f ca="1">IF(P761="","",IF(P761="Total",SUM($S$19:S760),VLOOKUP($P761,$B$12:$L825,11,FALSE)))</f>
        <v>#N/A</v>
      </c>
      <c r="T761" s="44" t="e">
        <f ca="1">IF(payfreq="Annually",IF(P761="","",IF(P761="Total",SUM($T$19:T760),Adj_Rate*$R761)),IF(payfreq="Semiannually",IF(P761="","",IF(P761="Total",SUM($T$19:T760),Adj_Rate/2*$R761)),IF(payfreq="Quarterly",IF(P761="","",IF(P761="Total",SUM($T$19:T760),Adj_Rate/4*$R761)),IF(payfreq="Monthly",IF(P761="","",IF(P761="Total",SUM($T$19:T760),Adj_Rate/12*$R761)),""))))</f>
        <v>#N/A</v>
      </c>
      <c r="U761" s="37" t="e">
        <f t="shared" ca="1" si="167"/>
        <v>#N/A</v>
      </c>
      <c r="V761" s="44" t="e">
        <f t="shared" ca="1" si="168"/>
        <v>#N/A</v>
      </c>
    </row>
    <row r="762" spans="2:22">
      <c r="B762" s="38" t="e">
        <f t="shared" ca="1" si="161"/>
        <v>#N/A</v>
      </c>
      <c r="C762" s="77" t="e">
        <f t="shared" ca="1" si="163"/>
        <v>#N/A</v>
      </c>
      <c r="D762" s="78" t="e">
        <f ca="1">+IF(AND(B762&lt;$G$7),VLOOKUP($B$1,Inventory!$A$1:$BC$500,35,FALSE),IF(AND(B762=$G$7,pmt_timing="End"),VLOOKUP($B$1,Inventory!$A$1:$BC$500,35,FALSE),0))</f>
        <v>#N/A</v>
      </c>
      <c r="E762" s="78">
        <v>0</v>
      </c>
      <c r="F762" s="78">
        <v>0</v>
      </c>
      <c r="G762" s="78">
        <v>0</v>
      </c>
      <c r="H762" s="78">
        <v>0</v>
      </c>
      <c r="I762" s="78">
        <v>0</v>
      </c>
      <c r="J762" s="78">
        <v>0</v>
      </c>
      <c r="K762" s="78">
        <v>0</v>
      </c>
      <c r="L762" s="36" t="e">
        <f t="shared" ca="1" si="164"/>
        <v>#N/A</v>
      </c>
      <c r="M762" s="37" t="e">
        <f t="shared" ca="1" si="165"/>
        <v>#N/A</v>
      </c>
      <c r="N762" s="37" t="e">
        <f t="shared" ca="1" si="159"/>
        <v>#N/A</v>
      </c>
      <c r="P762" s="35" t="e">
        <f t="shared" ca="1" si="162"/>
        <v>#N/A</v>
      </c>
      <c r="Q762" s="59" t="e">
        <f t="shared" ca="1" si="160"/>
        <v>#N/A</v>
      </c>
      <c r="R762" s="44" t="e">
        <f t="shared" ca="1" si="166"/>
        <v>#N/A</v>
      </c>
      <c r="S762" s="37" t="e">
        <f ca="1">IF(P762="","",IF(P762="Total",SUM($S$19:S761),VLOOKUP($P762,$B$12:$L826,11,FALSE)))</f>
        <v>#N/A</v>
      </c>
      <c r="T762" s="44" t="e">
        <f ca="1">IF(payfreq="Annually",IF(P762="","",IF(P762="Total",SUM($T$19:T761),Adj_Rate*$R762)),IF(payfreq="Semiannually",IF(P762="","",IF(P762="Total",SUM($T$19:T761),Adj_Rate/2*$R762)),IF(payfreq="Quarterly",IF(P762="","",IF(P762="Total",SUM($T$19:T761),Adj_Rate/4*$R762)),IF(payfreq="Monthly",IF(P762="","",IF(P762="Total",SUM($T$19:T761),Adj_Rate/12*$R762)),""))))</f>
        <v>#N/A</v>
      </c>
      <c r="U762" s="37" t="e">
        <f t="shared" ca="1" si="167"/>
        <v>#N/A</v>
      </c>
      <c r="V762" s="44" t="e">
        <f t="shared" ca="1" si="168"/>
        <v>#N/A</v>
      </c>
    </row>
    <row r="763" spans="2:22">
      <c r="B763" s="38" t="e">
        <f t="shared" ca="1" si="161"/>
        <v>#N/A</v>
      </c>
      <c r="C763" s="77" t="e">
        <f t="shared" ca="1" si="163"/>
        <v>#N/A</v>
      </c>
      <c r="D763" s="78" t="e">
        <f ca="1">+IF(AND(B763&lt;$G$7),VLOOKUP($B$1,Inventory!$A$1:$BC$500,35,FALSE),IF(AND(B763=$G$7,pmt_timing="End"),VLOOKUP($B$1,Inventory!$A$1:$BC$500,35,FALSE),0))</f>
        <v>#N/A</v>
      </c>
      <c r="E763" s="78">
        <v>0</v>
      </c>
      <c r="F763" s="78">
        <v>0</v>
      </c>
      <c r="G763" s="78">
        <v>0</v>
      </c>
      <c r="H763" s="78">
        <v>0</v>
      </c>
      <c r="I763" s="78">
        <v>0</v>
      </c>
      <c r="J763" s="78">
        <v>0</v>
      </c>
      <c r="K763" s="78">
        <v>0</v>
      </c>
      <c r="L763" s="36" t="e">
        <f t="shared" ca="1" si="164"/>
        <v>#N/A</v>
      </c>
      <c r="M763" s="37" t="e">
        <f t="shared" ca="1" si="165"/>
        <v>#N/A</v>
      </c>
      <c r="N763" s="37" t="e">
        <f t="shared" ca="1" si="159"/>
        <v>#N/A</v>
      </c>
      <c r="P763" s="35" t="e">
        <f t="shared" ca="1" si="162"/>
        <v>#N/A</v>
      </c>
      <c r="Q763" s="59" t="e">
        <f t="shared" ca="1" si="160"/>
        <v>#N/A</v>
      </c>
      <c r="R763" s="44" t="e">
        <f t="shared" ca="1" si="166"/>
        <v>#N/A</v>
      </c>
      <c r="S763" s="37" t="e">
        <f ca="1">IF(P763="","",IF(P763="Total",SUM($S$19:S762),VLOOKUP($P763,$B$12:$L827,11,FALSE)))</f>
        <v>#N/A</v>
      </c>
      <c r="T763" s="44" t="e">
        <f ca="1">IF(payfreq="Annually",IF(P763="","",IF(P763="Total",SUM($T$19:T762),Adj_Rate*$R763)),IF(payfreq="Semiannually",IF(P763="","",IF(P763="Total",SUM($T$19:T762),Adj_Rate/2*$R763)),IF(payfreq="Quarterly",IF(P763="","",IF(P763="Total",SUM($T$19:T762),Adj_Rate/4*$R763)),IF(payfreq="Monthly",IF(P763="","",IF(P763="Total",SUM($T$19:T762),Adj_Rate/12*$R763)),""))))</f>
        <v>#N/A</v>
      </c>
      <c r="U763" s="37" t="e">
        <f t="shared" ca="1" si="167"/>
        <v>#N/A</v>
      </c>
      <c r="V763" s="44" t="e">
        <f t="shared" ca="1" si="168"/>
        <v>#N/A</v>
      </c>
    </row>
    <row r="764" spans="2:22">
      <c r="B764" s="38" t="e">
        <f t="shared" ca="1" si="161"/>
        <v>#N/A</v>
      </c>
      <c r="C764" s="77" t="e">
        <f t="shared" ca="1" si="163"/>
        <v>#N/A</v>
      </c>
      <c r="D764" s="78" t="e">
        <f ca="1">+IF(AND(B764&lt;$G$7),VLOOKUP($B$1,Inventory!$A$1:$BC$500,35,FALSE),IF(AND(B764=$G$7,pmt_timing="End"),VLOOKUP($B$1,Inventory!$A$1:$BC$500,35,FALSE),0))</f>
        <v>#N/A</v>
      </c>
      <c r="E764" s="78">
        <v>0</v>
      </c>
      <c r="F764" s="78">
        <v>0</v>
      </c>
      <c r="G764" s="78">
        <v>0</v>
      </c>
      <c r="H764" s="78">
        <v>0</v>
      </c>
      <c r="I764" s="78">
        <v>0</v>
      </c>
      <c r="J764" s="78">
        <v>0</v>
      </c>
      <c r="K764" s="78">
        <v>0</v>
      </c>
      <c r="L764" s="36" t="e">
        <f t="shared" ca="1" si="164"/>
        <v>#N/A</v>
      </c>
      <c r="M764" s="37" t="e">
        <f t="shared" ca="1" si="165"/>
        <v>#N/A</v>
      </c>
      <c r="N764" s="37" t="e">
        <f t="shared" ca="1" si="159"/>
        <v>#N/A</v>
      </c>
      <c r="P764" s="35" t="e">
        <f t="shared" ca="1" si="162"/>
        <v>#N/A</v>
      </c>
      <c r="Q764" s="59" t="e">
        <f t="shared" ca="1" si="160"/>
        <v>#N/A</v>
      </c>
      <c r="R764" s="44" t="e">
        <f t="shared" ca="1" si="166"/>
        <v>#N/A</v>
      </c>
      <c r="S764" s="37" t="e">
        <f ca="1">IF(P764="","",IF(P764="Total",SUM($S$19:S763),VLOOKUP($P764,$B$12:$L828,11,FALSE)))</f>
        <v>#N/A</v>
      </c>
      <c r="T764" s="44" t="e">
        <f ca="1">IF(payfreq="Annually",IF(P764="","",IF(P764="Total",SUM($T$19:T763),Adj_Rate*$R764)),IF(payfreq="Semiannually",IF(P764="","",IF(P764="Total",SUM($T$19:T763),Adj_Rate/2*$R764)),IF(payfreq="Quarterly",IF(P764="","",IF(P764="Total",SUM($T$19:T763),Adj_Rate/4*$R764)),IF(payfreq="Monthly",IF(P764="","",IF(P764="Total",SUM($T$19:T763),Adj_Rate/12*$R764)),""))))</f>
        <v>#N/A</v>
      </c>
      <c r="U764" s="37" t="e">
        <f t="shared" ca="1" si="167"/>
        <v>#N/A</v>
      </c>
      <c r="V764" s="44" t="e">
        <f t="shared" ca="1" si="168"/>
        <v>#N/A</v>
      </c>
    </row>
    <row r="765" spans="2:22">
      <c r="B765" s="38" t="e">
        <f t="shared" ca="1" si="161"/>
        <v>#N/A</v>
      </c>
      <c r="C765" s="77" t="e">
        <f t="shared" ca="1" si="163"/>
        <v>#N/A</v>
      </c>
      <c r="D765" s="78" t="e">
        <f ca="1">+IF(AND(B765&lt;$G$7),VLOOKUP($B$1,Inventory!$A$1:$BC$500,35,FALSE),IF(AND(B765=$G$7,pmt_timing="End"),VLOOKUP($B$1,Inventory!$A$1:$BC$500,35,FALSE),0))</f>
        <v>#N/A</v>
      </c>
      <c r="E765" s="78">
        <v>0</v>
      </c>
      <c r="F765" s="78">
        <v>0</v>
      </c>
      <c r="G765" s="78">
        <v>0</v>
      </c>
      <c r="H765" s="78">
        <v>0</v>
      </c>
      <c r="I765" s="78">
        <v>0</v>
      </c>
      <c r="J765" s="78">
        <v>0</v>
      </c>
      <c r="K765" s="78">
        <v>0</v>
      </c>
      <c r="L765" s="36" t="e">
        <f t="shared" ca="1" si="164"/>
        <v>#N/A</v>
      </c>
      <c r="M765" s="37" t="e">
        <f t="shared" ca="1" si="165"/>
        <v>#N/A</v>
      </c>
      <c r="N765" s="37" t="e">
        <f t="shared" ca="1" si="159"/>
        <v>#N/A</v>
      </c>
      <c r="P765" s="35" t="e">
        <f t="shared" ca="1" si="162"/>
        <v>#N/A</v>
      </c>
      <c r="Q765" s="59" t="e">
        <f t="shared" ca="1" si="160"/>
        <v>#N/A</v>
      </c>
      <c r="R765" s="44" t="e">
        <f t="shared" ca="1" si="166"/>
        <v>#N/A</v>
      </c>
      <c r="S765" s="37" t="e">
        <f ca="1">IF(P765="","",IF(P765="Total",SUM($S$19:S764),VLOOKUP($P765,$B$12:$L829,11,FALSE)))</f>
        <v>#N/A</v>
      </c>
      <c r="T765" s="44" t="e">
        <f ca="1">IF(payfreq="Annually",IF(P765="","",IF(P765="Total",SUM($T$19:T764),Adj_Rate*$R765)),IF(payfreq="Semiannually",IF(P765="","",IF(P765="Total",SUM($T$19:T764),Adj_Rate/2*$R765)),IF(payfreq="Quarterly",IF(P765="","",IF(P765="Total",SUM($T$19:T764),Adj_Rate/4*$R765)),IF(payfreq="Monthly",IF(P765="","",IF(P765="Total",SUM($T$19:T764),Adj_Rate/12*$R765)),""))))</f>
        <v>#N/A</v>
      </c>
      <c r="U765" s="37" t="e">
        <f t="shared" ca="1" si="167"/>
        <v>#N/A</v>
      </c>
      <c r="V765" s="44" t="e">
        <f t="shared" ca="1" si="168"/>
        <v>#N/A</v>
      </c>
    </row>
    <row r="766" spans="2:22">
      <c r="B766" s="38" t="e">
        <f t="shared" ca="1" si="161"/>
        <v>#N/A</v>
      </c>
      <c r="C766" s="77" t="e">
        <f t="shared" ca="1" si="163"/>
        <v>#N/A</v>
      </c>
      <c r="D766" s="78" t="e">
        <f ca="1">+IF(AND(B766&lt;$G$7),VLOOKUP($B$1,Inventory!$A$1:$BC$500,35,FALSE),IF(AND(B766=$G$7,pmt_timing="End"),VLOOKUP($B$1,Inventory!$A$1:$BC$500,35,FALSE),0))</f>
        <v>#N/A</v>
      </c>
      <c r="E766" s="78">
        <v>0</v>
      </c>
      <c r="F766" s="78">
        <v>0</v>
      </c>
      <c r="G766" s="78">
        <v>0</v>
      </c>
      <c r="H766" s="78">
        <v>0</v>
      </c>
      <c r="I766" s="78">
        <v>0</v>
      </c>
      <c r="J766" s="78">
        <v>0</v>
      </c>
      <c r="K766" s="78">
        <v>0</v>
      </c>
      <c r="L766" s="36" t="e">
        <f t="shared" ca="1" si="164"/>
        <v>#N/A</v>
      </c>
      <c r="M766" s="37" t="e">
        <f t="shared" ca="1" si="165"/>
        <v>#N/A</v>
      </c>
      <c r="N766" s="37" t="e">
        <f t="shared" ca="1" si="159"/>
        <v>#N/A</v>
      </c>
      <c r="P766" s="35" t="e">
        <f t="shared" ca="1" si="162"/>
        <v>#N/A</v>
      </c>
      <c r="Q766" s="59" t="e">
        <f t="shared" ca="1" si="160"/>
        <v>#N/A</v>
      </c>
      <c r="R766" s="44" t="e">
        <f t="shared" ca="1" si="166"/>
        <v>#N/A</v>
      </c>
      <c r="S766" s="37" t="e">
        <f ca="1">IF(P766="","",IF(P766="Total",SUM($S$19:S765),VLOOKUP($P766,$B$12:$L830,11,FALSE)))</f>
        <v>#N/A</v>
      </c>
      <c r="T766" s="44" t="e">
        <f ca="1">IF(payfreq="Annually",IF(P766="","",IF(P766="Total",SUM($T$19:T765),Adj_Rate*$R766)),IF(payfreq="Semiannually",IF(P766="","",IF(P766="Total",SUM($T$19:T765),Adj_Rate/2*$R766)),IF(payfreq="Quarterly",IF(P766="","",IF(P766="Total",SUM($T$19:T765),Adj_Rate/4*$R766)),IF(payfreq="Monthly",IF(P766="","",IF(P766="Total",SUM($T$19:T765),Adj_Rate/12*$R766)),""))))</f>
        <v>#N/A</v>
      </c>
      <c r="U766" s="37" t="e">
        <f t="shared" ca="1" si="167"/>
        <v>#N/A</v>
      </c>
      <c r="V766" s="44" t="e">
        <f t="shared" ca="1" si="168"/>
        <v>#N/A</v>
      </c>
    </row>
    <row r="767" spans="2:22">
      <c r="B767" s="38" t="e">
        <f t="shared" ca="1" si="161"/>
        <v>#N/A</v>
      </c>
      <c r="C767" s="77" t="e">
        <f t="shared" ca="1" si="163"/>
        <v>#N/A</v>
      </c>
      <c r="D767" s="78" t="e">
        <f ca="1">+IF(AND(B767&lt;$G$7),VLOOKUP($B$1,Inventory!$A$1:$BC$500,35,FALSE),IF(AND(B767=$G$7,pmt_timing="End"),VLOOKUP($B$1,Inventory!$A$1:$BC$500,35,FALSE),0))</f>
        <v>#N/A</v>
      </c>
      <c r="E767" s="78">
        <v>0</v>
      </c>
      <c r="F767" s="78">
        <v>0</v>
      </c>
      <c r="G767" s="78">
        <v>0</v>
      </c>
      <c r="H767" s="78">
        <v>0</v>
      </c>
      <c r="I767" s="78">
        <v>0</v>
      </c>
      <c r="J767" s="78">
        <v>0</v>
      </c>
      <c r="K767" s="78">
        <v>0</v>
      </c>
      <c r="L767" s="36" t="e">
        <f t="shared" ca="1" si="164"/>
        <v>#N/A</v>
      </c>
      <c r="M767" s="37" t="e">
        <f t="shared" ca="1" si="165"/>
        <v>#N/A</v>
      </c>
      <c r="N767" s="37" t="e">
        <f t="shared" ca="1" si="159"/>
        <v>#N/A</v>
      </c>
      <c r="P767" s="35" t="e">
        <f t="shared" ca="1" si="162"/>
        <v>#N/A</v>
      </c>
      <c r="Q767" s="59" t="e">
        <f t="shared" ca="1" si="160"/>
        <v>#N/A</v>
      </c>
      <c r="R767" s="44" t="e">
        <f t="shared" ca="1" si="166"/>
        <v>#N/A</v>
      </c>
      <c r="S767" s="37" t="e">
        <f ca="1">IF(P767="","",IF(P767="Total",SUM($S$19:S766),VLOOKUP($P767,$B$12:$L831,11,FALSE)))</f>
        <v>#N/A</v>
      </c>
      <c r="T767" s="44" t="e">
        <f ca="1">IF(payfreq="Annually",IF(P767="","",IF(P767="Total",SUM($T$19:T766),Adj_Rate*$R767)),IF(payfreq="Semiannually",IF(P767="","",IF(P767="Total",SUM($T$19:T766),Adj_Rate/2*$R767)),IF(payfreq="Quarterly",IF(P767="","",IF(P767="Total",SUM($T$19:T766),Adj_Rate/4*$R767)),IF(payfreq="Monthly",IF(P767="","",IF(P767="Total",SUM($T$19:T766),Adj_Rate/12*$R767)),""))))</f>
        <v>#N/A</v>
      </c>
      <c r="U767" s="37" t="e">
        <f t="shared" ca="1" si="167"/>
        <v>#N/A</v>
      </c>
      <c r="V767" s="44" t="e">
        <f t="shared" ca="1" si="168"/>
        <v>#N/A</v>
      </c>
    </row>
    <row r="768" spans="2:22">
      <c r="B768" s="38" t="e">
        <f t="shared" ca="1" si="161"/>
        <v>#N/A</v>
      </c>
      <c r="C768" s="77" t="e">
        <f t="shared" ca="1" si="163"/>
        <v>#N/A</v>
      </c>
      <c r="D768" s="78" t="e">
        <f ca="1">+IF(AND(B768&lt;$G$7),VLOOKUP($B$1,Inventory!$A$1:$BC$500,35,FALSE),IF(AND(B768=$G$7,pmt_timing="End"),VLOOKUP($B$1,Inventory!$A$1:$BC$500,35,FALSE),0))</f>
        <v>#N/A</v>
      </c>
      <c r="E768" s="78">
        <v>0</v>
      </c>
      <c r="F768" s="78">
        <v>0</v>
      </c>
      <c r="G768" s="78">
        <v>0</v>
      </c>
      <c r="H768" s="78">
        <v>0</v>
      </c>
      <c r="I768" s="78">
        <v>0</v>
      </c>
      <c r="J768" s="78">
        <v>0</v>
      </c>
      <c r="K768" s="78">
        <v>0</v>
      </c>
      <c r="L768" s="36" t="e">
        <f t="shared" ca="1" si="164"/>
        <v>#N/A</v>
      </c>
      <c r="M768" s="37" t="e">
        <f t="shared" ca="1" si="165"/>
        <v>#N/A</v>
      </c>
      <c r="N768" s="37" t="e">
        <f t="shared" ca="1" si="159"/>
        <v>#N/A</v>
      </c>
      <c r="P768" s="35" t="e">
        <f t="shared" ca="1" si="162"/>
        <v>#N/A</v>
      </c>
      <c r="Q768" s="59" t="e">
        <f t="shared" ca="1" si="160"/>
        <v>#N/A</v>
      </c>
      <c r="R768" s="44" t="e">
        <f t="shared" ca="1" si="166"/>
        <v>#N/A</v>
      </c>
      <c r="S768" s="37" t="e">
        <f ca="1">IF(P768="","",IF(P768="Total",SUM($S$19:S767),VLOOKUP($P768,$B$12:$L832,11,FALSE)))</f>
        <v>#N/A</v>
      </c>
      <c r="T768" s="44" t="e">
        <f ca="1">IF(payfreq="Annually",IF(P768="","",IF(P768="Total",SUM($T$19:T767),Adj_Rate*$R768)),IF(payfreq="Semiannually",IF(P768="","",IF(P768="Total",SUM($T$19:T767),Adj_Rate/2*$R768)),IF(payfreq="Quarterly",IF(P768="","",IF(P768="Total",SUM($T$19:T767),Adj_Rate/4*$R768)),IF(payfreq="Monthly",IF(P768="","",IF(P768="Total",SUM($T$19:T767),Adj_Rate/12*$R768)),""))))</f>
        <v>#N/A</v>
      </c>
      <c r="U768" s="37" t="e">
        <f t="shared" ca="1" si="167"/>
        <v>#N/A</v>
      </c>
      <c r="V768" s="44" t="e">
        <f t="shared" ca="1" si="168"/>
        <v>#N/A</v>
      </c>
    </row>
    <row r="769" spans="2:22">
      <c r="B769" s="38" t="e">
        <f t="shared" ca="1" si="161"/>
        <v>#N/A</v>
      </c>
      <c r="C769" s="77" t="e">
        <f t="shared" ca="1" si="163"/>
        <v>#N/A</v>
      </c>
      <c r="D769" s="78" t="e">
        <f ca="1">+IF(AND(B769&lt;$G$7),VLOOKUP($B$1,Inventory!$A$1:$BC$500,35,FALSE),IF(AND(B769=$G$7,pmt_timing="End"),VLOOKUP($B$1,Inventory!$A$1:$BC$500,35,FALSE),0))</f>
        <v>#N/A</v>
      </c>
      <c r="E769" s="78">
        <v>0</v>
      </c>
      <c r="F769" s="78">
        <v>0</v>
      </c>
      <c r="G769" s="78">
        <v>0</v>
      </c>
      <c r="H769" s="78">
        <v>0</v>
      </c>
      <c r="I769" s="78">
        <v>0</v>
      </c>
      <c r="J769" s="78">
        <v>0</v>
      </c>
      <c r="K769" s="78">
        <v>0</v>
      </c>
      <c r="L769" s="36" t="e">
        <f t="shared" ca="1" si="164"/>
        <v>#N/A</v>
      </c>
      <c r="M769" s="37" t="e">
        <f t="shared" ca="1" si="165"/>
        <v>#N/A</v>
      </c>
      <c r="N769" s="37" t="e">
        <f t="shared" ca="1" si="159"/>
        <v>#N/A</v>
      </c>
      <c r="P769" s="35" t="e">
        <f t="shared" ca="1" si="162"/>
        <v>#N/A</v>
      </c>
      <c r="Q769" s="59" t="e">
        <f t="shared" ref="Q769" ca="1" si="169">IF(P769="","",IF(P769=term,"Last Period",IF(P769="total","",IF(payfreq="Annually",DATE(YEAR(Q768)+1,MONTH(Q768),DAY(Q768)),IF(payfreq="Semiannually",DATE(YEAR(Q768),MONTH(Q768)+6,DAY(Q768)),IF(payfreq="Quarterly",DATE(YEAR(Q768),MONTH(Q768)+3,DAY(Q768)),IF(payfreq="Monthly",DATE(YEAR(Q768),MONTH(Q768)+1,DAY(Q768)))))))))</f>
        <v>#N/A</v>
      </c>
      <c r="R769" s="44" t="e">
        <f t="shared" ca="1" si="166"/>
        <v>#N/A</v>
      </c>
      <c r="S769" s="37" t="e">
        <f ca="1">IF(P769="","",IF(P769="Total",SUM($S$19:S768),VLOOKUP($P769,$B$12:$L833,11,FALSE)))</f>
        <v>#N/A</v>
      </c>
      <c r="T769" s="44" t="e">
        <f ca="1">IF(payfreq="Annually",IF(P769="","",IF(P769="Total",SUM($T$19:T758),Adj_Rate*$R769)),IF(payfreq="Semiannually",IF(P769="","",IF(P769="Total",SUM($T$19:T758),Adj_Rate/2*$R769)),IF(payfreq="Quarterly",IF(P769="","",IF(P769="Total",SUM($T$19:T758),Adj_Rate/4*$R769)),IF(payfreq="Monthly",IF(P769="","",IF(P769="Total",SUM($T$19:T758),Adj_Rate/12*$R769)),""))))</f>
        <v>#N/A</v>
      </c>
      <c r="U769" s="37" t="e">
        <f t="shared" ca="1" si="167"/>
        <v>#N/A</v>
      </c>
      <c r="V769" s="44" t="e">
        <f t="shared" ca="1" si="168"/>
        <v>#N/A</v>
      </c>
    </row>
  </sheetData>
  <sheetProtection password="83AF" sheet="1" objects="1" scenarios="1"/>
  <autoFilter ref="B16:N349" xr:uid="{00000000-0009-0000-0000-000005000000}">
    <filterColumn colId="2" showButton="0"/>
    <filterColumn colId="3" showButton="0"/>
    <filterColumn colId="4" showButton="0"/>
    <filterColumn colId="5" showButton="0"/>
    <filterColumn colId="6" showButton="0"/>
    <filterColumn colId="7" showButton="0"/>
    <filterColumn colId="8" showButton="0"/>
  </autoFilter>
  <mergeCells count="21">
    <mergeCell ref="P4:R4"/>
    <mergeCell ref="Q6:S6"/>
    <mergeCell ref="P7:T7"/>
    <mergeCell ref="R13:V15"/>
    <mergeCell ref="P17:P18"/>
    <mergeCell ref="R17:R18"/>
    <mergeCell ref="S17:S18"/>
    <mergeCell ref="T17:T18"/>
    <mergeCell ref="V17:V18"/>
    <mergeCell ref="B17:B18"/>
    <mergeCell ref="J6:L6"/>
    <mergeCell ref="M17:N17"/>
    <mergeCell ref="J4:L4"/>
    <mergeCell ref="J7:L7"/>
    <mergeCell ref="C8:E9"/>
    <mergeCell ref="J9:L9"/>
    <mergeCell ref="C11:E12"/>
    <mergeCell ref="J12:L12"/>
    <mergeCell ref="J13:L13"/>
    <mergeCell ref="C13:E13"/>
    <mergeCell ref="D16:K16"/>
  </mergeCells>
  <conditionalFormatting sqref="L19">
    <cfRule type="expression" dxfId="1989" priority="3148">
      <formula>B19=""</formula>
    </cfRule>
    <cfRule type="expression" priority="3149">
      <formula>B19&gt;0</formula>
    </cfRule>
    <cfRule type="cellIs" dxfId="1988" priority="3150" operator="greaterThan">
      <formula>0</formula>
    </cfRule>
  </conditionalFormatting>
  <conditionalFormatting sqref="L19">
    <cfRule type="expression" dxfId="1987" priority="3145">
      <formula>B19=""</formula>
    </cfRule>
    <cfRule type="expression" priority="3146">
      <formula>B19&gt;0</formula>
    </cfRule>
    <cfRule type="cellIs" dxfId="1986" priority="3147" operator="greaterThan">
      <formula>0</formula>
    </cfRule>
  </conditionalFormatting>
  <conditionalFormatting sqref="L19">
    <cfRule type="expression" dxfId="1985" priority="3142">
      <formula>B19=""</formula>
    </cfRule>
    <cfRule type="expression" priority="3143">
      <formula>B19&gt;0</formula>
    </cfRule>
    <cfRule type="cellIs" dxfId="1984" priority="3144" operator="greaterThan">
      <formula>0</formula>
    </cfRule>
  </conditionalFormatting>
  <conditionalFormatting sqref="L19">
    <cfRule type="expression" dxfId="1983" priority="3139">
      <formula>B19=""</formula>
    </cfRule>
    <cfRule type="expression" priority="3140">
      <formula>B19&gt;0</formula>
    </cfRule>
    <cfRule type="cellIs" dxfId="1982" priority="3141" operator="greaterThan">
      <formula>0</formula>
    </cfRule>
  </conditionalFormatting>
  <conditionalFormatting sqref="L19">
    <cfRule type="expression" dxfId="1981" priority="3136">
      <formula>B19=""</formula>
    </cfRule>
    <cfRule type="expression" priority="3137">
      <formula>B19&gt;0</formula>
    </cfRule>
    <cfRule type="cellIs" dxfId="1980" priority="3138" operator="greaterThan">
      <formula>0</formula>
    </cfRule>
  </conditionalFormatting>
  <conditionalFormatting sqref="L19">
    <cfRule type="expression" dxfId="1979" priority="3133">
      <formula>B19=""</formula>
    </cfRule>
    <cfRule type="expression" priority="3134">
      <formula>B19&gt;0</formula>
    </cfRule>
    <cfRule type="cellIs" dxfId="1978" priority="3135" operator="greaterThan">
      <formula>0</formula>
    </cfRule>
  </conditionalFormatting>
  <conditionalFormatting sqref="L19">
    <cfRule type="expression" dxfId="1977" priority="3130">
      <formula>B19=""</formula>
    </cfRule>
    <cfRule type="expression" priority="3131">
      <formula>B19&gt;0</formula>
    </cfRule>
    <cfRule type="cellIs" dxfId="1976" priority="3132" operator="greaterThan">
      <formula>0</formula>
    </cfRule>
  </conditionalFormatting>
  <conditionalFormatting sqref="L19">
    <cfRule type="expression" dxfId="1975" priority="3127">
      <formula>B19=""</formula>
    </cfRule>
    <cfRule type="expression" priority="3128">
      <formula>B19&gt;0</formula>
    </cfRule>
    <cfRule type="cellIs" dxfId="1974" priority="3129" operator="greaterThan">
      <formula>0</formula>
    </cfRule>
  </conditionalFormatting>
  <conditionalFormatting sqref="L19">
    <cfRule type="expression" dxfId="1973" priority="3124">
      <formula>B19=""</formula>
    </cfRule>
    <cfRule type="expression" priority="3125">
      <formula>B19&gt;0</formula>
    </cfRule>
    <cfRule type="cellIs" dxfId="1972" priority="3126" operator="greaterThan">
      <formula>0</formula>
    </cfRule>
  </conditionalFormatting>
  <conditionalFormatting sqref="L19">
    <cfRule type="expression" dxfId="1971" priority="3121">
      <formula>B19=""</formula>
    </cfRule>
    <cfRule type="expression" priority="3122">
      <formula>B19&gt;0</formula>
    </cfRule>
    <cfRule type="cellIs" dxfId="1970" priority="3123" operator="greaterThan">
      <formula>0</formula>
    </cfRule>
  </conditionalFormatting>
  <conditionalFormatting sqref="L19">
    <cfRule type="expression" dxfId="1969" priority="3118">
      <formula>B19=""</formula>
    </cfRule>
    <cfRule type="expression" priority="3119">
      <formula>B19&gt;0</formula>
    </cfRule>
    <cfRule type="cellIs" dxfId="1968" priority="3120" operator="greaterThan">
      <formula>0</formula>
    </cfRule>
  </conditionalFormatting>
  <conditionalFormatting sqref="L19">
    <cfRule type="expression" dxfId="1967" priority="3115">
      <formula>B19=""</formula>
    </cfRule>
    <cfRule type="expression" priority="3116">
      <formula>B19&gt;0</formula>
    </cfRule>
    <cfRule type="cellIs" dxfId="1966" priority="3117" operator="greaterThan">
      <formula>0</formula>
    </cfRule>
  </conditionalFormatting>
  <conditionalFormatting sqref="L19">
    <cfRule type="expression" dxfId="1965" priority="3112">
      <formula>B19=""</formula>
    </cfRule>
    <cfRule type="expression" priority="3113">
      <formula>B19&gt;0</formula>
    </cfRule>
    <cfRule type="cellIs" dxfId="1964" priority="3114" operator="greaterThan">
      <formula>0</formula>
    </cfRule>
  </conditionalFormatting>
  <conditionalFormatting sqref="L19">
    <cfRule type="expression" dxfId="1963" priority="3109">
      <formula>B19=""</formula>
    </cfRule>
    <cfRule type="expression" priority="3110">
      <formula>B19&gt;0</formula>
    </cfRule>
    <cfRule type="cellIs" dxfId="1962" priority="3111" operator="greaterThan">
      <formula>0</formula>
    </cfRule>
  </conditionalFormatting>
  <conditionalFormatting sqref="L19">
    <cfRule type="expression" dxfId="1961" priority="3106">
      <formula>B19=""</formula>
    </cfRule>
    <cfRule type="expression" priority="3107">
      <formula>B19&gt;0</formula>
    </cfRule>
    <cfRule type="cellIs" dxfId="1960" priority="3108" operator="greaterThan">
      <formula>0</formula>
    </cfRule>
  </conditionalFormatting>
  <conditionalFormatting sqref="L19">
    <cfRule type="expression" dxfId="1959" priority="3103">
      <formula>B19=""</formula>
    </cfRule>
    <cfRule type="expression" priority="3104">
      <formula>B19&gt;0</formula>
    </cfRule>
    <cfRule type="cellIs" dxfId="1958" priority="3105" operator="greaterThan">
      <formula>0</formula>
    </cfRule>
  </conditionalFormatting>
  <conditionalFormatting sqref="L19">
    <cfRule type="expression" dxfId="1957" priority="3100">
      <formula>B19=""</formula>
    </cfRule>
    <cfRule type="expression" priority="3101">
      <formula>B19&gt;0</formula>
    </cfRule>
    <cfRule type="cellIs" dxfId="1956" priority="3102" operator="greaterThan">
      <formula>0</formula>
    </cfRule>
  </conditionalFormatting>
  <conditionalFormatting sqref="L19">
    <cfRule type="expression" dxfId="1955" priority="3097">
      <formula>B19=""</formula>
    </cfRule>
    <cfRule type="expression" priority="3098">
      <formula>B19&gt;0</formula>
    </cfRule>
    <cfRule type="cellIs" dxfId="1954" priority="3099" operator="greaterThan">
      <formula>0</formula>
    </cfRule>
  </conditionalFormatting>
  <conditionalFormatting sqref="L19">
    <cfRule type="expression" dxfId="1953" priority="3094">
      <formula>B19=""</formula>
    </cfRule>
    <cfRule type="expression" priority="3095">
      <formula>B19&gt;0</formula>
    </cfRule>
    <cfRule type="cellIs" dxfId="1952" priority="3096" operator="greaterThan">
      <formula>0</formula>
    </cfRule>
  </conditionalFormatting>
  <conditionalFormatting sqref="L19">
    <cfRule type="expression" dxfId="1951" priority="3091">
      <formula>B19=""</formula>
    </cfRule>
    <cfRule type="expression" priority="3092">
      <formula>B19&gt;0</formula>
    </cfRule>
    <cfRule type="cellIs" dxfId="1950" priority="3093" operator="greaterThan">
      <formula>0</formula>
    </cfRule>
  </conditionalFormatting>
  <conditionalFormatting sqref="L19">
    <cfRule type="expression" dxfId="1949" priority="3088">
      <formula>B19=""</formula>
    </cfRule>
    <cfRule type="expression" priority="3089">
      <formula>B19&gt;0</formula>
    </cfRule>
    <cfRule type="cellIs" dxfId="1948" priority="3090" operator="greaterThan">
      <formula>0</formula>
    </cfRule>
  </conditionalFormatting>
  <conditionalFormatting sqref="L19">
    <cfRule type="expression" dxfId="1947" priority="3085">
      <formula>B19=""</formula>
    </cfRule>
    <cfRule type="expression" priority="3086">
      <formula>B19&gt;0</formula>
    </cfRule>
    <cfRule type="cellIs" dxfId="1946" priority="3087" operator="greaterThan">
      <formula>0</formula>
    </cfRule>
  </conditionalFormatting>
  <conditionalFormatting sqref="L19">
    <cfRule type="expression" dxfId="1945" priority="3082">
      <formula>B19=""</formula>
    </cfRule>
    <cfRule type="expression" priority="3083">
      <formula>B19&gt;0</formula>
    </cfRule>
    <cfRule type="cellIs" dxfId="1944" priority="3084" operator="greaterThan">
      <formula>0</formula>
    </cfRule>
  </conditionalFormatting>
  <conditionalFormatting sqref="L19">
    <cfRule type="expression" dxfId="1943" priority="3079">
      <formula>B19=""</formula>
    </cfRule>
    <cfRule type="expression" priority="3080">
      <formula>B19&gt;0</formula>
    </cfRule>
    <cfRule type="cellIs" dxfId="1942" priority="3081" operator="greaterThan">
      <formula>0</formula>
    </cfRule>
  </conditionalFormatting>
  <conditionalFormatting sqref="L19">
    <cfRule type="expression" dxfId="1941" priority="3076">
      <formula>B19=""</formula>
    </cfRule>
    <cfRule type="expression" priority="3077">
      <formula>B19&gt;0</formula>
    </cfRule>
    <cfRule type="cellIs" dxfId="1940" priority="3078" operator="greaterThan">
      <formula>0</formula>
    </cfRule>
  </conditionalFormatting>
  <conditionalFormatting sqref="L19">
    <cfRule type="expression" dxfId="1939" priority="3073">
      <formula>B19=""</formula>
    </cfRule>
    <cfRule type="expression" priority="3074">
      <formula>B19&gt;0</formula>
    </cfRule>
    <cfRule type="cellIs" dxfId="1938" priority="3075" operator="greaterThan">
      <formula>0</formula>
    </cfRule>
  </conditionalFormatting>
  <conditionalFormatting sqref="L19">
    <cfRule type="expression" dxfId="1937" priority="3070">
      <formula>B19=""</formula>
    </cfRule>
    <cfRule type="expression" priority="3071">
      <formula>B19&gt;0</formula>
    </cfRule>
    <cfRule type="cellIs" dxfId="1936" priority="3072" operator="greaterThan">
      <formula>0</formula>
    </cfRule>
  </conditionalFormatting>
  <conditionalFormatting sqref="L19">
    <cfRule type="expression" dxfId="1935" priority="3067">
      <formula>B19=""</formula>
    </cfRule>
    <cfRule type="expression" priority="3068">
      <formula>B19&gt;0</formula>
    </cfRule>
    <cfRule type="cellIs" dxfId="1934" priority="3069" operator="greaterThan">
      <formula>0</formula>
    </cfRule>
  </conditionalFormatting>
  <conditionalFormatting sqref="L19">
    <cfRule type="expression" dxfId="1933" priority="3064">
      <formula>B19=""</formula>
    </cfRule>
    <cfRule type="expression" priority="3065">
      <formula>B19&gt;0</formula>
    </cfRule>
    <cfRule type="cellIs" dxfId="1932" priority="3066" operator="greaterThan">
      <formula>0</formula>
    </cfRule>
  </conditionalFormatting>
  <conditionalFormatting sqref="L19">
    <cfRule type="expression" dxfId="1931" priority="3061">
      <formula>B19=""</formula>
    </cfRule>
    <cfRule type="expression" priority="3062">
      <formula>B19&gt;0</formula>
    </cfRule>
    <cfRule type="cellIs" dxfId="1930" priority="3063" operator="greaterThan">
      <formula>0</formula>
    </cfRule>
  </conditionalFormatting>
  <conditionalFormatting sqref="L19">
    <cfRule type="expression" dxfId="1929" priority="3058">
      <formula>B19=""</formula>
    </cfRule>
    <cfRule type="expression" priority="3059">
      <formula>B19&gt;0</formula>
    </cfRule>
    <cfRule type="cellIs" dxfId="1928" priority="3060" operator="greaterThan">
      <formula>0</formula>
    </cfRule>
  </conditionalFormatting>
  <conditionalFormatting sqref="L19">
    <cfRule type="expression" dxfId="1927" priority="3055">
      <formula>B19=""</formula>
    </cfRule>
    <cfRule type="expression" priority="3056">
      <formula>B19&gt;0</formula>
    </cfRule>
    <cfRule type="cellIs" dxfId="1926" priority="3057" operator="greaterThan">
      <formula>0</formula>
    </cfRule>
  </conditionalFormatting>
  <conditionalFormatting sqref="L19">
    <cfRule type="expression" dxfId="1925" priority="3052">
      <formula>B19=""</formula>
    </cfRule>
    <cfRule type="expression" priority="3053">
      <formula>B19&gt;0</formula>
    </cfRule>
    <cfRule type="cellIs" dxfId="1924" priority="3054" operator="greaterThan">
      <formula>0</formula>
    </cfRule>
  </conditionalFormatting>
  <conditionalFormatting sqref="L19">
    <cfRule type="expression" dxfId="1923" priority="3049">
      <formula>B19=""</formula>
    </cfRule>
    <cfRule type="expression" priority="3050">
      <formula>B19&gt;0</formula>
    </cfRule>
    <cfRule type="cellIs" dxfId="1922" priority="3051" operator="greaterThan">
      <formula>0</formula>
    </cfRule>
  </conditionalFormatting>
  <conditionalFormatting sqref="L19">
    <cfRule type="expression" dxfId="1921" priority="3046">
      <formula>B19=""</formula>
    </cfRule>
    <cfRule type="expression" priority="3047">
      <formula>B19&gt;0</formula>
    </cfRule>
    <cfRule type="cellIs" dxfId="1920" priority="3048" operator="greaterThan">
      <formula>0</formula>
    </cfRule>
  </conditionalFormatting>
  <conditionalFormatting sqref="L19">
    <cfRule type="expression" dxfId="1919" priority="3043">
      <formula>B19=""</formula>
    </cfRule>
    <cfRule type="expression" priority="3044">
      <formula>B19&gt;0</formula>
    </cfRule>
    <cfRule type="cellIs" dxfId="1918" priority="3045" operator="greaterThan">
      <formula>0</formula>
    </cfRule>
  </conditionalFormatting>
  <conditionalFormatting sqref="L19">
    <cfRule type="expression" dxfId="1917" priority="3040">
      <formula>B19=""</formula>
    </cfRule>
    <cfRule type="expression" priority="3041">
      <formula>B19&gt;0</formula>
    </cfRule>
    <cfRule type="cellIs" dxfId="1916" priority="3042" operator="greaterThan">
      <formula>0</formula>
    </cfRule>
  </conditionalFormatting>
  <conditionalFormatting sqref="L19">
    <cfRule type="expression" dxfId="1915" priority="3037">
      <formula>B19=""</formula>
    </cfRule>
    <cfRule type="expression" priority="3038">
      <formula>B19&gt;0</formula>
    </cfRule>
    <cfRule type="cellIs" dxfId="1914" priority="3039" operator="greaterThan">
      <formula>0</formula>
    </cfRule>
  </conditionalFormatting>
  <conditionalFormatting sqref="L19">
    <cfRule type="expression" dxfId="1913" priority="3034">
      <formula>B19=""</formula>
    </cfRule>
    <cfRule type="expression" priority="3035">
      <formula>B19&gt;0</formula>
    </cfRule>
    <cfRule type="cellIs" dxfId="1912" priority="3036" operator="greaterThan">
      <formula>0</formula>
    </cfRule>
  </conditionalFormatting>
  <conditionalFormatting sqref="L19">
    <cfRule type="expression" dxfId="1911" priority="3031">
      <formula>B19=""</formula>
    </cfRule>
    <cfRule type="expression" priority="3032">
      <formula>B19&gt;0</formula>
    </cfRule>
    <cfRule type="cellIs" dxfId="1910" priority="3033" operator="greaterThan">
      <formula>0</formula>
    </cfRule>
  </conditionalFormatting>
  <conditionalFormatting sqref="L19">
    <cfRule type="expression" dxfId="1909" priority="3028">
      <formula>B19=""</formula>
    </cfRule>
    <cfRule type="expression" priority="3029">
      <formula>B19&gt;0</formula>
    </cfRule>
    <cfRule type="cellIs" dxfId="1908" priority="3030" operator="greaterThan">
      <formula>0</formula>
    </cfRule>
  </conditionalFormatting>
  <conditionalFormatting sqref="L19">
    <cfRule type="expression" dxfId="1907" priority="3025">
      <formula>B19=""</formula>
    </cfRule>
    <cfRule type="expression" priority="3026">
      <formula>B19&gt;0</formula>
    </cfRule>
    <cfRule type="cellIs" dxfId="1906" priority="3027" operator="greaterThan">
      <formula>0</formula>
    </cfRule>
  </conditionalFormatting>
  <conditionalFormatting sqref="L19">
    <cfRule type="expression" dxfId="1905" priority="3022">
      <formula>B19=""</formula>
    </cfRule>
    <cfRule type="expression" priority="3023">
      <formula>B19&gt;0</formula>
    </cfRule>
    <cfRule type="cellIs" dxfId="1904" priority="3024" operator="greaterThan">
      <formula>0</formula>
    </cfRule>
  </conditionalFormatting>
  <conditionalFormatting sqref="L19">
    <cfRule type="expression" dxfId="1903" priority="3019">
      <formula>B19=""</formula>
    </cfRule>
    <cfRule type="expression" priority="3020">
      <formula>B19&gt;0</formula>
    </cfRule>
    <cfRule type="cellIs" dxfId="1902" priority="3021" operator="greaterThan">
      <formula>0</formula>
    </cfRule>
  </conditionalFormatting>
  <conditionalFormatting sqref="L19">
    <cfRule type="expression" dxfId="1901" priority="3016">
      <formula>B19=""</formula>
    </cfRule>
    <cfRule type="expression" priority="3017">
      <formula>B19&gt;0</formula>
    </cfRule>
    <cfRule type="cellIs" dxfId="1900" priority="3018" operator="greaterThan">
      <formula>0</formula>
    </cfRule>
  </conditionalFormatting>
  <conditionalFormatting sqref="L19">
    <cfRule type="expression" dxfId="1899" priority="3013">
      <formula>B19=""</formula>
    </cfRule>
    <cfRule type="expression" priority="3014">
      <formula>B19&gt;0</formula>
    </cfRule>
    <cfRule type="cellIs" dxfId="1898" priority="3015" operator="greaterThan">
      <formula>0</formula>
    </cfRule>
  </conditionalFormatting>
  <conditionalFormatting sqref="L19">
    <cfRule type="expression" dxfId="1897" priority="3010">
      <formula>B19=""</formula>
    </cfRule>
    <cfRule type="expression" priority="3011">
      <formula>B19&gt;0</formula>
    </cfRule>
    <cfRule type="cellIs" dxfId="1896" priority="3012" operator="greaterThan">
      <formula>0</formula>
    </cfRule>
  </conditionalFormatting>
  <conditionalFormatting sqref="L19">
    <cfRule type="expression" dxfId="1895" priority="3007">
      <formula>B19=""</formula>
    </cfRule>
    <cfRule type="expression" priority="3008">
      <formula>B19&gt;0</formula>
    </cfRule>
    <cfRule type="cellIs" dxfId="1894" priority="3009" operator="greaterThan">
      <formula>0</formula>
    </cfRule>
  </conditionalFormatting>
  <conditionalFormatting sqref="L19">
    <cfRule type="expression" dxfId="1893" priority="3004">
      <formula>B19=""</formula>
    </cfRule>
    <cfRule type="expression" priority="3005">
      <formula>B19&gt;0</formula>
    </cfRule>
    <cfRule type="cellIs" dxfId="1892" priority="3006" operator="greaterThan">
      <formula>0</formula>
    </cfRule>
  </conditionalFormatting>
  <conditionalFormatting sqref="L19">
    <cfRule type="expression" dxfId="1891" priority="3001">
      <formula>B19=""</formula>
    </cfRule>
    <cfRule type="expression" priority="3002">
      <formula>B19&gt;0</formula>
    </cfRule>
    <cfRule type="cellIs" dxfId="1890" priority="3003" operator="greaterThan">
      <formula>0</formula>
    </cfRule>
  </conditionalFormatting>
  <conditionalFormatting sqref="L19">
    <cfRule type="expression" dxfId="1889" priority="2998">
      <formula>B19=""</formula>
    </cfRule>
    <cfRule type="expression" priority="2999">
      <formula>B19&gt;0</formula>
    </cfRule>
    <cfRule type="cellIs" dxfId="1888" priority="3000" operator="greaterThan">
      <formula>0</formula>
    </cfRule>
  </conditionalFormatting>
  <conditionalFormatting sqref="L19">
    <cfRule type="expression" dxfId="1887" priority="2995">
      <formula>B19=""</formula>
    </cfRule>
    <cfRule type="expression" priority="2996">
      <formula>B19&gt;0</formula>
    </cfRule>
    <cfRule type="cellIs" dxfId="1886" priority="2997" operator="greaterThan">
      <formula>0</formula>
    </cfRule>
  </conditionalFormatting>
  <conditionalFormatting sqref="L19">
    <cfRule type="expression" dxfId="1885" priority="2992">
      <formula>B19=""</formula>
    </cfRule>
    <cfRule type="expression" priority="2993">
      <formula>B19&gt;0</formula>
    </cfRule>
    <cfRule type="cellIs" dxfId="1884" priority="2994" operator="greaterThan">
      <formula>0</formula>
    </cfRule>
  </conditionalFormatting>
  <conditionalFormatting sqref="L19">
    <cfRule type="expression" dxfId="1883" priority="2989">
      <formula>B19=""</formula>
    </cfRule>
    <cfRule type="expression" priority="2990">
      <formula>B19&gt;0</formula>
    </cfRule>
    <cfRule type="cellIs" dxfId="1882" priority="2991" operator="greaterThan">
      <formula>0</formula>
    </cfRule>
  </conditionalFormatting>
  <conditionalFormatting sqref="L19">
    <cfRule type="expression" dxfId="1881" priority="2986">
      <formula>B19=""</formula>
    </cfRule>
    <cfRule type="expression" priority="2987">
      <formula>B19&gt;0</formula>
    </cfRule>
    <cfRule type="cellIs" dxfId="1880" priority="2988" operator="greaterThan">
      <formula>0</formula>
    </cfRule>
  </conditionalFormatting>
  <conditionalFormatting sqref="L19">
    <cfRule type="expression" dxfId="1879" priority="2983">
      <formula>B19=""</formula>
    </cfRule>
    <cfRule type="expression" priority="2984">
      <formula>B19&gt;0</formula>
    </cfRule>
    <cfRule type="cellIs" dxfId="1878" priority="2985" operator="greaterThan">
      <formula>0</formula>
    </cfRule>
  </conditionalFormatting>
  <conditionalFormatting sqref="D19:K20 E614:K769 D21:D769 E21:K603">
    <cfRule type="expression" dxfId="1877" priority="2980">
      <formula>XET19=""</formula>
    </cfRule>
    <cfRule type="expression" priority="2981">
      <formula>XET19&gt;0</formula>
    </cfRule>
    <cfRule type="cellIs" dxfId="1876" priority="2982" operator="greaterThan">
      <formula>0</formula>
    </cfRule>
  </conditionalFormatting>
  <conditionalFormatting sqref="D19:D769">
    <cfRule type="expression" dxfId="1875" priority="2977">
      <formula>XET19=""</formula>
    </cfRule>
    <cfRule type="expression" priority="2978">
      <formula>XET19&gt;0</formula>
    </cfRule>
    <cfRule type="cellIs" dxfId="1874" priority="2979" operator="greaterThan">
      <formula>0</formula>
    </cfRule>
  </conditionalFormatting>
  <conditionalFormatting sqref="D19:D769">
    <cfRule type="expression" dxfId="1873" priority="2974">
      <formula>XET19=""</formula>
    </cfRule>
    <cfRule type="expression" priority="2975">
      <formula>XET19&gt;0</formula>
    </cfRule>
    <cfRule type="cellIs" dxfId="1872" priority="2976" operator="greaterThan">
      <formula>0</formula>
    </cfRule>
  </conditionalFormatting>
  <conditionalFormatting sqref="D19:D769">
    <cfRule type="expression" dxfId="1871" priority="2971">
      <formula>XET19=""</formula>
    </cfRule>
    <cfRule type="expression" priority="2972">
      <formula>XET19&gt;0</formula>
    </cfRule>
    <cfRule type="cellIs" dxfId="1870" priority="2973" operator="greaterThan">
      <formula>0</formula>
    </cfRule>
  </conditionalFormatting>
  <conditionalFormatting sqref="D19:D769">
    <cfRule type="expression" dxfId="1869" priority="2968">
      <formula>XET19=""</formula>
    </cfRule>
    <cfRule type="expression" priority="2969">
      <formula>XET19&gt;0</formula>
    </cfRule>
    <cfRule type="cellIs" dxfId="1868" priority="2970" operator="greaterThan">
      <formula>0</formula>
    </cfRule>
  </conditionalFormatting>
  <conditionalFormatting sqref="D19:D769">
    <cfRule type="expression" dxfId="1867" priority="2965">
      <formula>XET19=""</formula>
    </cfRule>
    <cfRule type="expression" priority="2966">
      <formula>XET19&gt;0</formula>
    </cfRule>
    <cfRule type="cellIs" dxfId="1866" priority="2967" operator="greaterThan">
      <formula>0</formula>
    </cfRule>
  </conditionalFormatting>
  <conditionalFormatting sqref="D19:D769">
    <cfRule type="expression" dxfId="1865" priority="2962">
      <formula>XET19=""</formula>
    </cfRule>
    <cfRule type="expression" priority="2963">
      <formula>XET19&gt;0</formula>
    </cfRule>
    <cfRule type="cellIs" dxfId="1864" priority="2964" operator="greaterThan">
      <formula>0</formula>
    </cfRule>
  </conditionalFormatting>
  <conditionalFormatting sqref="D19:D769">
    <cfRule type="expression" dxfId="1863" priority="2959">
      <formula>XET19=""</formula>
    </cfRule>
    <cfRule type="expression" priority="2960">
      <formula>XET19&gt;0</formula>
    </cfRule>
    <cfRule type="cellIs" dxfId="1862" priority="2961" operator="greaterThan">
      <formula>0</formula>
    </cfRule>
  </conditionalFormatting>
  <conditionalFormatting sqref="D19:D769">
    <cfRule type="expression" dxfId="1861" priority="2956">
      <formula>XET19=""</formula>
    </cfRule>
    <cfRule type="expression" priority="2957">
      <formula>XET19&gt;0</formula>
    </cfRule>
    <cfRule type="cellIs" dxfId="1860" priority="2958" operator="greaterThan">
      <formula>0</formula>
    </cfRule>
  </conditionalFormatting>
  <conditionalFormatting sqref="D19:D769">
    <cfRule type="expression" dxfId="1859" priority="2953">
      <formula>XET19=""</formula>
    </cfRule>
    <cfRule type="expression" priority="2954">
      <formula>XET19&gt;0</formula>
    </cfRule>
    <cfRule type="cellIs" dxfId="1858" priority="2955" operator="greaterThan">
      <formula>0</formula>
    </cfRule>
  </conditionalFormatting>
  <conditionalFormatting sqref="D19:D769">
    <cfRule type="expression" dxfId="1857" priority="2950">
      <formula>XET19=""</formula>
    </cfRule>
    <cfRule type="expression" priority="2951">
      <formula>XET19&gt;0</formula>
    </cfRule>
    <cfRule type="cellIs" dxfId="1856" priority="2952" operator="greaterThan">
      <formula>0</formula>
    </cfRule>
  </conditionalFormatting>
  <conditionalFormatting sqref="D19:D769">
    <cfRule type="expression" dxfId="1855" priority="2947">
      <formula>XET19=""</formula>
    </cfRule>
    <cfRule type="expression" priority="2948">
      <formula>XET19&gt;0</formula>
    </cfRule>
    <cfRule type="cellIs" dxfId="1854" priority="2949" operator="greaterThan">
      <formula>0</formula>
    </cfRule>
  </conditionalFormatting>
  <conditionalFormatting sqref="D19:D769">
    <cfRule type="expression" dxfId="1853" priority="2944">
      <formula>XET19=""</formula>
    </cfRule>
    <cfRule type="expression" priority="2945">
      <formula>XET19&gt;0</formula>
    </cfRule>
    <cfRule type="cellIs" dxfId="1852" priority="2946" operator="greaterThan">
      <formula>0</formula>
    </cfRule>
  </conditionalFormatting>
  <conditionalFormatting sqref="D19:D769">
    <cfRule type="expression" dxfId="1851" priority="2941">
      <formula>XET19=""</formula>
    </cfRule>
    <cfRule type="expression" priority="2942">
      <formula>XET19&gt;0</formula>
    </cfRule>
    <cfRule type="cellIs" dxfId="1850" priority="2943" operator="greaterThan">
      <formula>0</formula>
    </cfRule>
  </conditionalFormatting>
  <conditionalFormatting sqref="D19:D769">
    <cfRule type="expression" dxfId="1849" priority="2938">
      <formula>XET19=""</formula>
    </cfRule>
    <cfRule type="expression" priority="2939">
      <formula>XET19&gt;0</formula>
    </cfRule>
    <cfRule type="cellIs" dxfId="1848" priority="2940" operator="greaterThan">
      <formula>0</formula>
    </cfRule>
  </conditionalFormatting>
  <conditionalFormatting sqref="D19:D769">
    <cfRule type="expression" dxfId="1847" priority="2935">
      <formula>XET19=""</formula>
    </cfRule>
    <cfRule type="expression" priority="2936">
      <formula>XET19&gt;0</formula>
    </cfRule>
    <cfRule type="cellIs" dxfId="1846" priority="2937" operator="greaterThan">
      <formula>0</formula>
    </cfRule>
  </conditionalFormatting>
  <conditionalFormatting sqref="D19:D769">
    <cfRule type="expression" dxfId="1845" priority="2932">
      <formula>XET19=""</formula>
    </cfRule>
    <cfRule type="expression" priority="2933">
      <formula>XET19&gt;0</formula>
    </cfRule>
    <cfRule type="cellIs" dxfId="1844" priority="2934" operator="greaterThan">
      <formula>0</formula>
    </cfRule>
  </conditionalFormatting>
  <conditionalFormatting sqref="D19:D769">
    <cfRule type="expression" dxfId="1843" priority="2929">
      <formula>XET19=""</formula>
    </cfRule>
    <cfRule type="expression" priority="2930">
      <formula>XET19&gt;0</formula>
    </cfRule>
    <cfRule type="cellIs" dxfId="1842" priority="2931" operator="greaterThan">
      <formula>0</formula>
    </cfRule>
  </conditionalFormatting>
  <conditionalFormatting sqref="D19:D769">
    <cfRule type="expression" dxfId="1841" priority="2926">
      <formula>XET19=""</formula>
    </cfRule>
    <cfRule type="expression" priority="2927">
      <formula>XET19&gt;0</formula>
    </cfRule>
    <cfRule type="cellIs" dxfId="1840" priority="2928" operator="greaterThan">
      <formula>0</formula>
    </cfRule>
  </conditionalFormatting>
  <conditionalFormatting sqref="D19:D769">
    <cfRule type="expression" dxfId="1839" priority="2923">
      <formula>XET19=""</formula>
    </cfRule>
    <cfRule type="expression" priority="2924">
      <formula>XET19&gt;0</formula>
    </cfRule>
    <cfRule type="cellIs" dxfId="1838" priority="2925" operator="greaterThan">
      <formula>0</formula>
    </cfRule>
  </conditionalFormatting>
  <conditionalFormatting sqref="D19:D769">
    <cfRule type="expression" dxfId="1837" priority="2920">
      <formula>XET19=""</formula>
    </cfRule>
    <cfRule type="expression" priority="2921">
      <formula>XET19&gt;0</formula>
    </cfRule>
    <cfRule type="cellIs" dxfId="1836" priority="2922" operator="greaterThan">
      <formula>0</formula>
    </cfRule>
  </conditionalFormatting>
  <conditionalFormatting sqref="D19:D769">
    <cfRule type="expression" dxfId="1835" priority="2917">
      <formula>XET19=""</formula>
    </cfRule>
    <cfRule type="expression" priority="2918">
      <formula>XET19&gt;0</formula>
    </cfRule>
    <cfRule type="cellIs" dxfId="1834" priority="2919" operator="greaterThan">
      <formula>0</formula>
    </cfRule>
  </conditionalFormatting>
  <conditionalFormatting sqref="D19:D769">
    <cfRule type="expression" dxfId="1833" priority="2914">
      <formula>XET19=""</formula>
    </cfRule>
    <cfRule type="expression" priority="2915">
      <formula>XET19&gt;0</formula>
    </cfRule>
    <cfRule type="cellIs" dxfId="1832" priority="2916" operator="greaterThan">
      <formula>0</formula>
    </cfRule>
  </conditionalFormatting>
  <conditionalFormatting sqref="D19:D769">
    <cfRule type="expression" dxfId="1831" priority="2911">
      <formula>XET19=""</formula>
    </cfRule>
    <cfRule type="expression" priority="2912">
      <formula>XET19&gt;0</formula>
    </cfRule>
    <cfRule type="cellIs" dxfId="1830" priority="2913" operator="greaterThan">
      <formula>0</formula>
    </cfRule>
  </conditionalFormatting>
  <conditionalFormatting sqref="D19:D769">
    <cfRule type="expression" dxfId="1829" priority="2908">
      <formula>XET19=""</formula>
    </cfRule>
    <cfRule type="expression" priority="2909">
      <formula>XET19&gt;0</formula>
    </cfRule>
    <cfRule type="cellIs" dxfId="1828" priority="2910" operator="greaterThan">
      <formula>0</formula>
    </cfRule>
  </conditionalFormatting>
  <conditionalFormatting sqref="D19:D769">
    <cfRule type="expression" dxfId="1827" priority="2905">
      <formula>XET19=""</formula>
    </cfRule>
    <cfRule type="expression" priority="2906">
      <formula>XET19&gt;0</formula>
    </cfRule>
    <cfRule type="cellIs" dxfId="1826" priority="2907" operator="greaterThan">
      <formula>0</formula>
    </cfRule>
  </conditionalFormatting>
  <conditionalFormatting sqref="D19:D769">
    <cfRule type="expression" dxfId="1825" priority="2902">
      <formula>XET19=""</formula>
    </cfRule>
    <cfRule type="expression" priority="2903">
      <formula>XET19&gt;0</formula>
    </cfRule>
    <cfRule type="cellIs" dxfId="1824" priority="2904" operator="greaterThan">
      <formula>0</formula>
    </cfRule>
  </conditionalFormatting>
  <conditionalFormatting sqref="D19:D769">
    <cfRule type="expression" dxfId="1823" priority="2899">
      <formula>XET19=""</formula>
    </cfRule>
    <cfRule type="expression" priority="2900">
      <formula>XET19&gt;0</formula>
    </cfRule>
    <cfRule type="cellIs" dxfId="1822" priority="2901" operator="greaterThan">
      <formula>0</formula>
    </cfRule>
  </conditionalFormatting>
  <conditionalFormatting sqref="D19:D769">
    <cfRule type="expression" dxfId="1821" priority="2896">
      <formula>XET19=""</formula>
    </cfRule>
    <cfRule type="expression" priority="2897">
      <formula>XET19&gt;0</formula>
    </cfRule>
    <cfRule type="cellIs" dxfId="1820" priority="2898" operator="greaterThan">
      <formula>0</formula>
    </cfRule>
  </conditionalFormatting>
  <conditionalFormatting sqref="D19:D769">
    <cfRule type="expression" dxfId="1819" priority="2893">
      <formula>XET19=""</formula>
    </cfRule>
    <cfRule type="expression" priority="2894">
      <formula>XET19&gt;0</formula>
    </cfRule>
    <cfRule type="cellIs" dxfId="1818" priority="2895" operator="greaterThan">
      <formula>0</formula>
    </cfRule>
  </conditionalFormatting>
  <conditionalFormatting sqref="D19:D769">
    <cfRule type="expression" dxfId="1817" priority="2890">
      <formula>XET19=""</formula>
    </cfRule>
    <cfRule type="expression" priority="2891">
      <formula>XET19&gt;0</formula>
    </cfRule>
    <cfRule type="cellIs" dxfId="1816" priority="2892" operator="greaterThan">
      <formula>0</formula>
    </cfRule>
  </conditionalFormatting>
  <conditionalFormatting sqref="D19:D769">
    <cfRule type="expression" dxfId="1815" priority="2887">
      <formula>XET19=""</formula>
    </cfRule>
    <cfRule type="expression" priority="2888">
      <formula>XET19&gt;0</formula>
    </cfRule>
    <cfRule type="cellIs" dxfId="1814" priority="2889" operator="greaterThan">
      <formula>0</formula>
    </cfRule>
  </conditionalFormatting>
  <conditionalFormatting sqref="D19:D769">
    <cfRule type="expression" dxfId="1813" priority="2884">
      <formula>XET19=""</formula>
    </cfRule>
    <cfRule type="expression" priority="2885">
      <formula>XET19&gt;0</formula>
    </cfRule>
    <cfRule type="cellIs" dxfId="1812" priority="2886" operator="greaterThan">
      <formula>0</formula>
    </cfRule>
  </conditionalFormatting>
  <conditionalFormatting sqref="D19:D769">
    <cfRule type="expression" dxfId="1811" priority="2881">
      <formula>XET19=""</formula>
    </cfRule>
    <cfRule type="expression" priority="2882">
      <formula>XET19&gt;0</formula>
    </cfRule>
    <cfRule type="cellIs" dxfId="1810" priority="2883" operator="greaterThan">
      <formula>0</formula>
    </cfRule>
  </conditionalFormatting>
  <conditionalFormatting sqref="D19:D769">
    <cfRule type="expression" dxfId="1809" priority="2878">
      <formula>XET19=""</formula>
    </cfRule>
    <cfRule type="expression" priority="2879">
      <formula>XET19&gt;0</formula>
    </cfRule>
    <cfRule type="cellIs" dxfId="1808" priority="2880" operator="greaterThan">
      <formula>0</formula>
    </cfRule>
  </conditionalFormatting>
  <conditionalFormatting sqref="D19:D769">
    <cfRule type="expression" dxfId="1807" priority="2875">
      <formula>XET19=""</formula>
    </cfRule>
    <cfRule type="expression" priority="2876">
      <formula>XET19&gt;0</formula>
    </cfRule>
    <cfRule type="cellIs" dxfId="1806" priority="2877" operator="greaterThan">
      <formula>0</formula>
    </cfRule>
  </conditionalFormatting>
  <conditionalFormatting sqref="D19:D769">
    <cfRule type="expression" dxfId="1805" priority="2872">
      <formula>XET19=""</formula>
    </cfRule>
    <cfRule type="expression" priority="2873">
      <formula>XET19&gt;0</formula>
    </cfRule>
    <cfRule type="cellIs" dxfId="1804" priority="2874" operator="greaterThan">
      <formula>0</formula>
    </cfRule>
  </conditionalFormatting>
  <conditionalFormatting sqref="D19:D769">
    <cfRule type="expression" dxfId="1803" priority="2869">
      <formula>XET19=""</formula>
    </cfRule>
    <cfRule type="expression" priority="2870">
      <formula>XET19&gt;0</formula>
    </cfRule>
    <cfRule type="cellIs" dxfId="1802" priority="2871" operator="greaterThan">
      <formula>0</formula>
    </cfRule>
  </conditionalFormatting>
  <conditionalFormatting sqref="D19:D769">
    <cfRule type="expression" dxfId="1801" priority="2866">
      <formula>XET19=""</formula>
    </cfRule>
    <cfRule type="expression" priority="2867">
      <formula>XET19&gt;0</formula>
    </cfRule>
    <cfRule type="cellIs" dxfId="1800" priority="2868" operator="greaterThan">
      <formula>0</formula>
    </cfRule>
  </conditionalFormatting>
  <conditionalFormatting sqref="D19:D769">
    <cfRule type="expression" dxfId="1799" priority="2863">
      <formula>XET19=""</formula>
    </cfRule>
    <cfRule type="expression" priority="2864">
      <formula>XET19&gt;0</formula>
    </cfRule>
    <cfRule type="cellIs" dxfId="1798" priority="2865" operator="greaterThan">
      <formula>0</formula>
    </cfRule>
  </conditionalFormatting>
  <conditionalFormatting sqref="D19:D769">
    <cfRule type="expression" dxfId="1797" priority="2860">
      <formula>XET19=""</formula>
    </cfRule>
    <cfRule type="expression" priority="2861">
      <formula>XET19&gt;0</formula>
    </cfRule>
    <cfRule type="cellIs" dxfId="1796" priority="2862" operator="greaterThan">
      <formula>0</formula>
    </cfRule>
  </conditionalFormatting>
  <conditionalFormatting sqref="D19:D769">
    <cfRule type="expression" dxfId="1795" priority="2857">
      <formula>XET19=""</formula>
    </cfRule>
    <cfRule type="expression" priority="2858">
      <formula>XET19&gt;0</formula>
    </cfRule>
    <cfRule type="cellIs" dxfId="1794" priority="2859" operator="greaterThan">
      <formula>0</formula>
    </cfRule>
  </conditionalFormatting>
  <conditionalFormatting sqref="D19:D769">
    <cfRule type="expression" dxfId="1793" priority="2854">
      <formula>XET19=""</formula>
    </cfRule>
    <cfRule type="expression" priority="2855">
      <formula>XET19&gt;0</formula>
    </cfRule>
    <cfRule type="cellIs" dxfId="1792" priority="2856" operator="greaterThan">
      <formula>0</formula>
    </cfRule>
  </conditionalFormatting>
  <conditionalFormatting sqref="D19:D769">
    <cfRule type="expression" dxfId="1791" priority="2851">
      <formula>XET19=""</formula>
    </cfRule>
    <cfRule type="expression" priority="2852">
      <formula>XET19&gt;0</formula>
    </cfRule>
    <cfRule type="cellIs" dxfId="1790" priority="2853" operator="greaterThan">
      <formula>0</formula>
    </cfRule>
  </conditionalFormatting>
  <conditionalFormatting sqref="D19:D769">
    <cfRule type="expression" dxfId="1789" priority="2848">
      <formula>XET19=""</formula>
    </cfRule>
    <cfRule type="expression" priority="2849">
      <formula>XET19&gt;0</formula>
    </cfRule>
    <cfRule type="cellIs" dxfId="1788" priority="2850" operator="greaterThan">
      <formula>0</formula>
    </cfRule>
  </conditionalFormatting>
  <conditionalFormatting sqref="D19:D769">
    <cfRule type="expression" dxfId="1787" priority="2845">
      <formula>XET19=""</formula>
    </cfRule>
    <cfRule type="expression" priority="2846">
      <formula>XET19&gt;0</formula>
    </cfRule>
    <cfRule type="cellIs" dxfId="1786" priority="2847" operator="greaterThan">
      <formula>0</formula>
    </cfRule>
  </conditionalFormatting>
  <conditionalFormatting sqref="D19:D769">
    <cfRule type="expression" dxfId="1785" priority="2842">
      <formula>XET19=""</formula>
    </cfRule>
    <cfRule type="expression" priority="2843">
      <formula>XET19&gt;0</formula>
    </cfRule>
    <cfRule type="cellIs" dxfId="1784" priority="2844" operator="greaterThan">
      <formula>0</formula>
    </cfRule>
  </conditionalFormatting>
  <conditionalFormatting sqref="D19:D769">
    <cfRule type="expression" dxfId="1783" priority="2839">
      <formula>XET19=""</formula>
    </cfRule>
    <cfRule type="expression" priority="2840">
      <formula>XET19&gt;0</formula>
    </cfRule>
    <cfRule type="cellIs" dxfId="1782" priority="2841" operator="greaterThan">
      <formula>0</formula>
    </cfRule>
  </conditionalFormatting>
  <conditionalFormatting sqref="D19:D769">
    <cfRule type="expression" dxfId="1781" priority="2836">
      <formula>XET19=""</formula>
    </cfRule>
    <cfRule type="expression" priority="2837">
      <formula>XET19&gt;0</formula>
    </cfRule>
    <cfRule type="cellIs" dxfId="1780" priority="2838" operator="greaterThan">
      <formula>0</formula>
    </cfRule>
  </conditionalFormatting>
  <conditionalFormatting sqref="D19:D769">
    <cfRule type="expression" dxfId="1779" priority="2833">
      <formula>XET19=""</formula>
    </cfRule>
    <cfRule type="expression" priority="2834">
      <formula>XET19&gt;0</formula>
    </cfRule>
    <cfRule type="cellIs" dxfId="1778" priority="2835" operator="greaterThan">
      <formula>0</formula>
    </cfRule>
  </conditionalFormatting>
  <conditionalFormatting sqref="D19:D769">
    <cfRule type="expression" dxfId="1777" priority="2830">
      <formula>XET19=""</formula>
    </cfRule>
    <cfRule type="expression" priority="2831">
      <formula>XET19&gt;0</formula>
    </cfRule>
    <cfRule type="cellIs" dxfId="1776" priority="2832" operator="greaterThan">
      <formula>0</formula>
    </cfRule>
  </conditionalFormatting>
  <conditionalFormatting sqref="D19:D769">
    <cfRule type="expression" dxfId="1775" priority="2827">
      <formula>XET19=""</formula>
    </cfRule>
    <cfRule type="expression" priority="2828">
      <formula>XET19&gt;0</formula>
    </cfRule>
    <cfRule type="cellIs" dxfId="1774" priority="2829" operator="greaterThan">
      <formula>0</formula>
    </cfRule>
  </conditionalFormatting>
  <conditionalFormatting sqref="D19:D769">
    <cfRule type="expression" dxfId="1773" priority="2824">
      <formula>XET19=""</formula>
    </cfRule>
    <cfRule type="expression" priority="2825">
      <formula>XET19&gt;0</formula>
    </cfRule>
    <cfRule type="cellIs" dxfId="1772" priority="2826" operator="greaterThan">
      <formula>0</formula>
    </cfRule>
  </conditionalFormatting>
  <conditionalFormatting sqref="D19:D769">
    <cfRule type="expression" dxfId="1771" priority="2821">
      <formula>XET19=""</formula>
    </cfRule>
    <cfRule type="expression" priority="2822">
      <formula>XET19&gt;0</formula>
    </cfRule>
    <cfRule type="cellIs" dxfId="1770" priority="2823" operator="greaterThan">
      <formula>0</formula>
    </cfRule>
  </conditionalFormatting>
  <conditionalFormatting sqref="D19:D769">
    <cfRule type="expression" dxfId="1769" priority="2818">
      <formula>XET19=""</formula>
    </cfRule>
    <cfRule type="expression" priority="2819">
      <formula>XET19&gt;0</formula>
    </cfRule>
    <cfRule type="cellIs" dxfId="1768" priority="2820" operator="greaterThan">
      <formula>0</formula>
    </cfRule>
  </conditionalFormatting>
  <conditionalFormatting sqref="D19:D769">
    <cfRule type="expression" dxfId="1767" priority="2815">
      <formula>XET19=""</formula>
    </cfRule>
    <cfRule type="expression" priority="2816">
      <formula>XET19&gt;0</formula>
    </cfRule>
    <cfRule type="cellIs" dxfId="1766" priority="2817" operator="greaterThan">
      <formula>0</formula>
    </cfRule>
  </conditionalFormatting>
  <conditionalFormatting sqref="E19:E603 E614:E769">
    <cfRule type="expression" dxfId="1765" priority="2812">
      <formula>XEU19=""</formula>
    </cfRule>
    <cfRule type="expression" priority="2813">
      <formula>XEU19&gt;0</formula>
    </cfRule>
    <cfRule type="cellIs" dxfId="1764" priority="2814" operator="greaterThan">
      <formula>0</formula>
    </cfRule>
  </conditionalFormatting>
  <conditionalFormatting sqref="E19:E603 E614:E769">
    <cfRule type="expression" dxfId="1763" priority="2809">
      <formula>XEU19=""</formula>
    </cfRule>
    <cfRule type="expression" priority="2810">
      <formula>XEU19&gt;0</formula>
    </cfRule>
    <cfRule type="cellIs" dxfId="1762" priority="2811" operator="greaterThan">
      <formula>0</formula>
    </cfRule>
  </conditionalFormatting>
  <conditionalFormatting sqref="E19:E603 E614:E769">
    <cfRule type="expression" dxfId="1761" priority="2806">
      <formula>XEU19=""</formula>
    </cfRule>
    <cfRule type="expression" priority="2807">
      <formula>XEU19&gt;0</formula>
    </cfRule>
    <cfRule type="cellIs" dxfId="1760" priority="2808" operator="greaterThan">
      <formula>0</formula>
    </cfRule>
  </conditionalFormatting>
  <conditionalFormatting sqref="E19:E603 E614:E769">
    <cfRule type="expression" dxfId="1759" priority="2803">
      <formula>XEU19=""</formula>
    </cfRule>
    <cfRule type="expression" priority="2804">
      <formula>XEU19&gt;0</formula>
    </cfRule>
    <cfRule type="cellIs" dxfId="1758" priority="2805" operator="greaterThan">
      <formula>0</formula>
    </cfRule>
  </conditionalFormatting>
  <conditionalFormatting sqref="E19:E603 E614:E769">
    <cfRule type="expression" dxfId="1757" priority="2800">
      <formula>XEU19=""</formula>
    </cfRule>
    <cfRule type="expression" priority="2801">
      <formula>XEU19&gt;0</formula>
    </cfRule>
    <cfRule type="cellIs" dxfId="1756" priority="2802" operator="greaterThan">
      <formula>0</formula>
    </cfRule>
  </conditionalFormatting>
  <conditionalFormatting sqref="E19:E603 E614:E769">
    <cfRule type="expression" dxfId="1755" priority="2797">
      <formula>XEU19=""</formula>
    </cfRule>
    <cfRule type="expression" priority="2798">
      <formula>XEU19&gt;0</formula>
    </cfRule>
    <cfRule type="cellIs" dxfId="1754" priority="2799" operator="greaterThan">
      <formula>0</formula>
    </cfRule>
  </conditionalFormatting>
  <conditionalFormatting sqref="E19:E603 E614:E769">
    <cfRule type="expression" dxfId="1753" priority="2794">
      <formula>XEU19=""</formula>
    </cfRule>
    <cfRule type="expression" priority="2795">
      <formula>XEU19&gt;0</formula>
    </cfRule>
    <cfRule type="cellIs" dxfId="1752" priority="2796" operator="greaterThan">
      <formula>0</formula>
    </cfRule>
  </conditionalFormatting>
  <conditionalFormatting sqref="E19:E603 E614:E769">
    <cfRule type="expression" dxfId="1751" priority="2791">
      <formula>XEU19=""</formula>
    </cfRule>
    <cfRule type="expression" priority="2792">
      <formula>XEU19&gt;0</formula>
    </cfRule>
    <cfRule type="cellIs" dxfId="1750" priority="2793" operator="greaterThan">
      <formula>0</formula>
    </cfRule>
  </conditionalFormatting>
  <conditionalFormatting sqref="E19:E603 E614:E769">
    <cfRule type="expression" dxfId="1749" priority="2788">
      <formula>XEU19=""</formula>
    </cfRule>
    <cfRule type="expression" priority="2789">
      <formula>XEU19&gt;0</formula>
    </cfRule>
    <cfRule type="cellIs" dxfId="1748" priority="2790" operator="greaterThan">
      <formula>0</formula>
    </cfRule>
  </conditionalFormatting>
  <conditionalFormatting sqref="E19:E603 E614:E769">
    <cfRule type="expression" dxfId="1747" priority="2785">
      <formula>XEU19=""</formula>
    </cfRule>
    <cfRule type="expression" priority="2786">
      <formula>XEU19&gt;0</formula>
    </cfRule>
    <cfRule type="cellIs" dxfId="1746" priority="2787" operator="greaterThan">
      <formula>0</formula>
    </cfRule>
  </conditionalFormatting>
  <conditionalFormatting sqref="E19:E603 E614:E769">
    <cfRule type="expression" dxfId="1745" priority="2782">
      <formula>XEU19=""</formula>
    </cfRule>
    <cfRule type="expression" priority="2783">
      <formula>XEU19&gt;0</formula>
    </cfRule>
    <cfRule type="cellIs" dxfId="1744" priority="2784" operator="greaterThan">
      <formula>0</formula>
    </cfRule>
  </conditionalFormatting>
  <conditionalFormatting sqref="E19:E603 E614:E769">
    <cfRule type="expression" dxfId="1743" priority="2779">
      <formula>XEU19=""</formula>
    </cfRule>
    <cfRule type="expression" priority="2780">
      <formula>XEU19&gt;0</formula>
    </cfRule>
    <cfRule type="cellIs" dxfId="1742" priority="2781" operator="greaterThan">
      <formula>0</formula>
    </cfRule>
  </conditionalFormatting>
  <conditionalFormatting sqref="E19:E603 E614:E769">
    <cfRule type="expression" dxfId="1741" priority="2776">
      <formula>XEU19=""</formula>
    </cfRule>
    <cfRule type="expression" priority="2777">
      <formula>XEU19&gt;0</formula>
    </cfRule>
    <cfRule type="cellIs" dxfId="1740" priority="2778" operator="greaterThan">
      <formula>0</formula>
    </cfRule>
  </conditionalFormatting>
  <conditionalFormatting sqref="E19:E603 E614:E769">
    <cfRule type="expression" dxfId="1739" priority="2773">
      <formula>XEU19=""</formula>
    </cfRule>
    <cfRule type="expression" priority="2774">
      <formula>XEU19&gt;0</formula>
    </cfRule>
    <cfRule type="cellIs" dxfId="1738" priority="2775" operator="greaterThan">
      <formula>0</formula>
    </cfRule>
  </conditionalFormatting>
  <conditionalFormatting sqref="E19:E603 E614:E769">
    <cfRule type="expression" dxfId="1737" priority="2770">
      <formula>XEU19=""</formula>
    </cfRule>
    <cfRule type="expression" priority="2771">
      <formula>XEU19&gt;0</formula>
    </cfRule>
    <cfRule type="cellIs" dxfId="1736" priority="2772" operator="greaterThan">
      <formula>0</formula>
    </cfRule>
  </conditionalFormatting>
  <conditionalFormatting sqref="E19:E603 E614:E769">
    <cfRule type="expression" dxfId="1735" priority="2767">
      <formula>XEU19=""</formula>
    </cfRule>
    <cfRule type="expression" priority="2768">
      <formula>XEU19&gt;0</formula>
    </cfRule>
    <cfRule type="cellIs" dxfId="1734" priority="2769" operator="greaterThan">
      <formula>0</formula>
    </cfRule>
  </conditionalFormatting>
  <conditionalFormatting sqref="E19:E603 E614:E769">
    <cfRule type="expression" dxfId="1733" priority="2764">
      <formula>XEU19=""</formula>
    </cfRule>
    <cfRule type="expression" priority="2765">
      <formula>XEU19&gt;0</formula>
    </cfRule>
    <cfRule type="cellIs" dxfId="1732" priority="2766" operator="greaterThan">
      <formula>0</formula>
    </cfRule>
  </conditionalFormatting>
  <conditionalFormatting sqref="E19:E603 E614:E769">
    <cfRule type="expression" dxfId="1731" priority="2761">
      <formula>XEU19=""</formula>
    </cfRule>
    <cfRule type="expression" priority="2762">
      <formula>XEU19&gt;0</formula>
    </cfRule>
    <cfRule type="cellIs" dxfId="1730" priority="2763" operator="greaterThan">
      <formula>0</formula>
    </cfRule>
  </conditionalFormatting>
  <conditionalFormatting sqref="E19:E603 E614:E769">
    <cfRule type="expression" dxfId="1729" priority="2758">
      <formula>XEU19=""</formula>
    </cfRule>
    <cfRule type="expression" priority="2759">
      <formula>XEU19&gt;0</formula>
    </cfRule>
    <cfRule type="cellIs" dxfId="1728" priority="2760" operator="greaterThan">
      <formula>0</formula>
    </cfRule>
  </conditionalFormatting>
  <conditionalFormatting sqref="E19:E603 E614:E769">
    <cfRule type="expression" dxfId="1727" priority="2755">
      <formula>XEU19=""</formula>
    </cfRule>
    <cfRule type="expression" priority="2756">
      <formula>XEU19&gt;0</formula>
    </cfRule>
    <cfRule type="cellIs" dxfId="1726" priority="2757" operator="greaterThan">
      <formula>0</formula>
    </cfRule>
  </conditionalFormatting>
  <conditionalFormatting sqref="E19:E603 E614:E769">
    <cfRule type="expression" dxfId="1725" priority="2752">
      <formula>XEU19=""</formula>
    </cfRule>
    <cfRule type="expression" priority="2753">
      <formula>XEU19&gt;0</formula>
    </cfRule>
    <cfRule type="cellIs" dxfId="1724" priority="2754" operator="greaterThan">
      <formula>0</formula>
    </cfRule>
  </conditionalFormatting>
  <conditionalFormatting sqref="E19:E603 E614:E769">
    <cfRule type="expression" dxfId="1723" priority="2749">
      <formula>XEU19=""</formula>
    </cfRule>
    <cfRule type="expression" priority="2750">
      <formula>XEU19&gt;0</formula>
    </cfRule>
    <cfRule type="cellIs" dxfId="1722" priority="2751" operator="greaterThan">
      <formula>0</formula>
    </cfRule>
  </conditionalFormatting>
  <conditionalFormatting sqref="E19:E603 E614:E769">
    <cfRule type="expression" dxfId="1721" priority="2746">
      <formula>XEU19=""</formula>
    </cfRule>
    <cfRule type="expression" priority="2747">
      <formula>XEU19&gt;0</formula>
    </cfRule>
    <cfRule type="cellIs" dxfId="1720" priority="2748" operator="greaterThan">
      <formula>0</formula>
    </cfRule>
  </conditionalFormatting>
  <conditionalFormatting sqref="E19:E603 E614:E769">
    <cfRule type="expression" dxfId="1719" priority="2743">
      <formula>XEU19=""</formula>
    </cfRule>
    <cfRule type="expression" priority="2744">
      <formula>XEU19&gt;0</formula>
    </cfRule>
    <cfRule type="cellIs" dxfId="1718" priority="2745" operator="greaterThan">
      <formula>0</formula>
    </cfRule>
  </conditionalFormatting>
  <conditionalFormatting sqref="E19:E603 E614:E769">
    <cfRule type="expression" dxfId="1717" priority="2740">
      <formula>XEU19=""</formula>
    </cfRule>
    <cfRule type="expression" priority="2741">
      <formula>XEU19&gt;0</formula>
    </cfRule>
    <cfRule type="cellIs" dxfId="1716" priority="2742" operator="greaterThan">
      <formula>0</formula>
    </cfRule>
  </conditionalFormatting>
  <conditionalFormatting sqref="E19:E603 E614:E769">
    <cfRule type="expression" dxfId="1715" priority="2737">
      <formula>XEU19=""</formula>
    </cfRule>
    <cfRule type="expression" priority="2738">
      <formula>XEU19&gt;0</formula>
    </cfRule>
    <cfRule type="cellIs" dxfId="1714" priority="2739" operator="greaterThan">
      <formula>0</formula>
    </cfRule>
  </conditionalFormatting>
  <conditionalFormatting sqref="E19:E603 E614:E769">
    <cfRule type="expression" dxfId="1713" priority="2734">
      <formula>XEU19=""</formula>
    </cfRule>
    <cfRule type="expression" priority="2735">
      <formula>XEU19&gt;0</formula>
    </cfRule>
    <cfRule type="cellIs" dxfId="1712" priority="2736" operator="greaterThan">
      <formula>0</formula>
    </cfRule>
  </conditionalFormatting>
  <conditionalFormatting sqref="E19:E603 E614:E769">
    <cfRule type="expression" dxfId="1711" priority="2731">
      <formula>XEU19=""</formula>
    </cfRule>
    <cfRule type="expression" priority="2732">
      <formula>XEU19&gt;0</formula>
    </cfRule>
    <cfRule type="cellIs" dxfId="1710" priority="2733" operator="greaterThan">
      <formula>0</formula>
    </cfRule>
  </conditionalFormatting>
  <conditionalFormatting sqref="E19:E603 E614:E769">
    <cfRule type="expression" dxfId="1709" priority="2728">
      <formula>XEU19=""</formula>
    </cfRule>
    <cfRule type="expression" priority="2729">
      <formula>XEU19&gt;0</formula>
    </cfRule>
    <cfRule type="cellIs" dxfId="1708" priority="2730" operator="greaterThan">
      <formula>0</formula>
    </cfRule>
  </conditionalFormatting>
  <conditionalFormatting sqref="E19:E603 E614:E769">
    <cfRule type="expression" dxfId="1707" priority="2725">
      <formula>XEU19=""</formula>
    </cfRule>
    <cfRule type="expression" priority="2726">
      <formula>XEU19&gt;0</formula>
    </cfRule>
    <cfRule type="cellIs" dxfId="1706" priority="2727" operator="greaterThan">
      <formula>0</formula>
    </cfRule>
  </conditionalFormatting>
  <conditionalFormatting sqref="E19:E603 E614:E769">
    <cfRule type="expression" dxfId="1705" priority="2722">
      <formula>XEU19=""</formula>
    </cfRule>
    <cfRule type="expression" priority="2723">
      <formula>XEU19&gt;0</formula>
    </cfRule>
    <cfRule type="cellIs" dxfId="1704" priority="2724" operator="greaterThan">
      <formula>0</formula>
    </cfRule>
  </conditionalFormatting>
  <conditionalFormatting sqref="E19:E603 E614:E769">
    <cfRule type="expression" dxfId="1703" priority="2719">
      <formula>XEU19=""</formula>
    </cfRule>
    <cfRule type="expression" priority="2720">
      <formula>XEU19&gt;0</formula>
    </cfRule>
    <cfRule type="cellIs" dxfId="1702" priority="2721" operator="greaterThan">
      <formula>0</formula>
    </cfRule>
  </conditionalFormatting>
  <conditionalFormatting sqref="E19:E603 E614:E769">
    <cfRule type="expression" dxfId="1701" priority="2716">
      <formula>XEU19=""</formula>
    </cfRule>
    <cfRule type="expression" priority="2717">
      <formula>XEU19&gt;0</formula>
    </cfRule>
    <cfRule type="cellIs" dxfId="1700" priority="2718" operator="greaterThan">
      <formula>0</formula>
    </cfRule>
  </conditionalFormatting>
  <conditionalFormatting sqref="E19:E603 E614:E769">
    <cfRule type="expression" dxfId="1699" priority="2713">
      <formula>XEU19=""</formula>
    </cfRule>
    <cfRule type="expression" priority="2714">
      <formula>XEU19&gt;0</formula>
    </cfRule>
    <cfRule type="cellIs" dxfId="1698" priority="2715" operator="greaterThan">
      <formula>0</formula>
    </cfRule>
  </conditionalFormatting>
  <conditionalFormatting sqref="E19:E603 E614:E769">
    <cfRule type="expression" dxfId="1697" priority="2710">
      <formula>XEU19=""</formula>
    </cfRule>
    <cfRule type="expression" priority="2711">
      <formula>XEU19&gt;0</formula>
    </cfRule>
    <cfRule type="cellIs" dxfId="1696" priority="2712" operator="greaterThan">
      <formula>0</formula>
    </cfRule>
  </conditionalFormatting>
  <conditionalFormatting sqref="E19:E603 E614:E769">
    <cfRule type="expression" dxfId="1695" priority="2707">
      <formula>XEU19=""</formula>
    </cfRule>
    <cfRule type="expression" priority="2708">
      <formula>XEU19&gt;0</formula>
    </cfRule>
    <cfRule type="cellIs" dxfId="1694" priority="2709" operator="greaterThan">
      <formula>0</formula>
    </cfRule>
  </conditionalFormatting>
  <conditionalFormatting sqref="E19:E603 E614:E769">
    <cfRule type="expression" dxfId="1693" priority="2704">
      <formula>XEU19=""</formula>
    </cfRule>
    <cfRule type="expression" priority="2705">
      <formula>XEU19&gt;0</formula>
    </cfRule>
    <cfRule type="cellIs" dxfId="1692" priority="2706" operator="greaterThan">
      <formula>0</formula>
    </cfRule>
  </conditionalFormatting>
  <conditionalFormatting sqref="E19:E603 E614:E769">
    <cfRule type="expression" dxfId="1691" priority="2701">
      <formula>XEU19=""</formula>
    </cfRule>
    <cfRule type="expression" priority="2702">
      <formula>XEU19&gt;0</formula>
    </cfRule>
    <cfRule type="cellIs" dxfId="1690" priority="2703" operator="greaterThan">
      <formula>0</formula>
    </cfRule>
  </conditionalFormatting>
  <conditionalFormatting sqref="E19:E603 E614:E769">
    <cfRule type="expression" dxfId="1689" priority="2698">
      <formula>XEU19=""</formula>
    </cfRule>
    <cfRule type="expression" priority="2699">
      <formula>XEU19&gt;0</formula>
    </cfRule>
    <cfRule type="cellIs" dxfId="1688" priority="2700" operator="greaterThan">
      <formula>0</formula>
    </cfRule>
  </conditionalFormatting>
  <conditionalFormatting sqref="E19:E603 E614:E769">
    <cfRule type="expression" dxfId="1687" priority="2695">
      <formula>XEU19=""</formula>
    </cfRule>
    <cfRule type="expression" priority="2696">
      <formula>XEU19&gt;0</formula>
    </cfRule>
    <cfRule type="cellIs" dxfId="1686" priority="2697" operator="greaterThan">
      <formula>0</formula>
    </cfRule>
  </conditionalFormatting>
  <conditionalFormatting sqref="E19:E603 E614:E769">
    <cfRule type="expression" dxfId="1685" priority="2692">
      <formula>XEU19=""</formula>
    </cfRule>
    <cfRule type="expression" priority="2693">
      <formula>XEU19&gt;0</formula>
    </cfRule>
    <cfRule type="cellIs" dxfId="1684" priority="2694" operator="greaterThan">
      <formula>0</formula>
    </cfRule>
  </conditionalFormatting>
  <conditionalFormatting sqref="E19:E603 E614:E769">
    <cfRule type="expression" dxfId="1683" priority="2689">
      <formula>XEU19=""</formula>
    </cfRule>
    <cfRule type="expression" priority="2690">
      <formula>XEU19&gt;0</formula>
    </cfRule>
    <cfRule type="cellIs" dxfId="1682" priority="2691" operator="greaterThan">
      <formula>0</formula>
    </cfRule>
  </conditionalFormatting>
  <conditionalFormatting sqref="E19:E603 E614:E769">
    <cfRule type="expression" dxfId="1681" priority="2686">
      <formula>XEU19=""</formula>
    </cfRule>
    <cfRule type="expression" priority="2687">
      <formula>XEU19&gt;0</formula>
    </cfRule>
    <cfRule type="cellIs" dxfId="1680" priority="2688" operator="greaterThan">
      <formula>0</formula>
    </cfRule>
  </conditionalFormatting>
  <conditionalFormatting sqref="E19:E603 E614:E769">
    <cfRule type="expression" dxfId="1679" priority="2683">
      <formula>XEU19=""</formula>
    </cfRule>
    <cfRule type="expression" priority="2684">
      <formula>XEU19&gt;0</formula>
    </cfRule>
    <cfRule type="cellIs" dxfId="1678" priority="2685" operator="greaterThan">
      <formula>0</formula>
    </cfRule>
  </conditionalFormatting>
  <conditionalFormatting sqref="E19:E603 E614:E769">
    <cfRule type="expression" dxfId="1677" priority="2680">
      <formula>XEU19=""</formula>
    </cfRule>
    <cfRule type="expression" priority="2681">
      <formula>XEU19&gt;0</formula>
    </cfRule>
    <cfRule type="cellIs" dxfId="1676" priority="2682" operator="greaterThan">
      <formula>0</formula>
    </cfRule>
  </conditionalFormatting>
  <conditionalFormatting sqref="E19:E603 E614:E769">
    <cfRule type="expression" dxfId="1675" priority="2677">
      <formula>XEU19=""</formula>
    </cfRule>
    <cfRule type="expression" priority="2678">
      <formula>XEU19&gt;0</formula>
    </cfRule>
    <cfRule type="cellIs" dxfId="1674" priority="2679" operator="greaterThan">
      <formula>0</formula>
    </cfRule>
  </conditionalFormatting>
  <conditionalFormatting sqref="E19:E603 E614:E769">
    <cfRule type="expression" dxfId="1673" priority="2674">
      <formula>XEU19=""</formula>
    </cfRule>
    <cfRule type="expression" priority="2675">
      <formula>XEU19&gt;0</formula>
    </cfRule>
    <cfRule type="cellIs" dxfId="1672" priority="2676" operator="greaterThan">
      <formula>0</formula>
    </cfRule>
  </conditionalFormatting>
  <conditionalFormatting sqref="E19:E603 E614:E769">
    <cfRule type="expression" dxfId="1671" priority="2671">
      <formula>XEU19=""</formula>
    </cfRule>
    <cfRule type="expression" priority="2672">
      <formula>XEU19&gt;0</formula>
    </cfRule>
    <cfRule type="cellIs" dxfId="1670" priority="2673" operator="greaterThan">
      <formula>0</formula>
    </cfRule>
  </conditionalFormatting>
  <conditionalFormatting sqref="E19:E603 E614:E769">
    <cfRule type="expression" dxfId="1669" priority="2668">
      <formula>XEU19=""</formula>
    </cfRule>
    <cfRule type="expression" priority="2669">
      <formula>XEU19&gt;0</formula>
    </cfRule>
    <cfRule type="cellIs" dxfId="1668" priority="2670" operator="greaterThan">
      <formula>0</formula>
    </cfRule>
  </conditionalFormatting>
  <conditionalFormatting sqref="E19:E603 E614:E769">
    <cfRule type="expression" dxfId="1667" priority="2665">
      <formula>XEU19=""</formula>
    </cfRule>
    <cfRule type="expression" priority="2666">
      <formula>XEU19&gt;0</formula>
    </cfRule>
    <cfRule type="cellIs" dxfId="1666" priority="2667" operator="greaterThan">
      <formula>0</formula>
    </cfRule>
  </conditionalFormatting>
  <conditionalFormatting sqref="E19:E603 E614:E769">
    <cfRule type="expression" dxfId="1665" priority="2662">
      <formula>XEU19=""</formula>
    </cfRule>
    <cfRule type="expression" priority="2663">
      <formula>XEU19&gt;0</formula>
    </cfRule>
    <cfRule type="cellIs" dxfId="1664" priority="2664" operator="greaterThan">
      <formula>0</formula>
    </cfRule>
  </conditionalFormatting>
  <conditionalFormatting sqref="E19:E603 E614:E769">
    <cfRule type="expression" dxfId="1663" priority="2659">
      <formula>XEU19=""</formula>
    </cfRule>
    <cfRule type="expression" priority="2660">
      <formula>XEU19&gt;0</formula>
    </cfRule>
    <cfRule type="cellIs" dxfId="1662" priority="2661" operator="greaterThan">
      <formula>0</formula>
    </cfRule>
  </conditionalFormatting>
  <conditionalFormatting sqref="E19:E603 E614:E769">
    <cfRule type="expression" dxfId="1661" priority="2656">
      <formula>XEU19=""</formula>
    </cfRule>
    <cfRule type="expression" priority="2657">
      <formula>XEU19&gt;0</formula>
    </cfRule>
    <cfRule type="cellIs" dxfId="1660" priority="2658" operator="greaterThan">
      <formula>0</formula>
    </cfRule>
  </conditionalFormatting>
  <conditionalFormatting sqref="E19:E603 E614:E769">
    <cfRule type="expression" dxfId="1659" priority="2653">
      <formula>XEU19=""</formula>
    </cfRule>
    <cfRule type="expression" priority="2654">
      <formula>XEU19&gt;0</formula>
    </cfRule>
    <cfRule type="cellIs" dxfId="1658" priority="2655" operator="greaterThan">
      <formula>0</formula>
    </cfRule>
  </conditionalFormatting>
  <conditionalFormatting sqref="E19:E603 E614:E769">
    <cfRule type="expression" dxfId="1657" priority="2650">
      <formula>XEU19=""</formula>
    </cfRule>
    <cfRule type="expression" priority="2651">
      <formula>XEU19&gt;0</formula>
    </cfRule>
    <cfRule type="cellIs" dxfId="1656" priority="2652" operator="greaterThan">
      <formula>0</formula>
    </cfRule>
  </conditionalFormatting>
  <conditionalFormatting sqref="F19:F603 F614:F769">
    <cfRule type="expression" dxfId="1655" priority="2647">
      <formula>XEV19=""</formula>
    </cfRule>
    <cfRule type="expression" priority="2648">
      <formula>XEV19&gt;0</formula>
    </cfRule>
    <cfRule type="cellIs" dxfId="1654" priority="2649" operator="greaterThan">
      <formula>0</formula>
    </cfRule>
  </conditionalFormatting>
  <conditionalFormatting sqref="F19:F603 F614:F769">
    <cfRule type="expression" dxfId="1653" priority="2644">
      <formula>XEV19=""</formula>
    </cfRule>
    <cfRule type="expression" priority="2645">
      <formula>XEV19&gt;0</formula>
    </cfRule>
    <cfRule type="cellIs" dxfId="1652" priority="2646" operator="greaterThan">
      <formula>0</formula>
    </cfRule>
  </conditionalFormatting>
  <conditionalFormatting sqref="F19:F603 F614:F769">
    <cfRule type="expression" dxfId="1651" priority="2641">
      <formula>XEV19=""</formula>
    </cfRule>
    <cfRule type="expression" priority="2642">
      <formula>XEV19&gt;0</formula>
    </cfRule>
    <cfRule type="cellIs" dxfId="1650" priority="2643" operator="greaterThan">
      <formula>0</formula>
    </cfRule>
  </conditionalFormatting>
  <conditionalFormatting sqref="F19:F603 F614:F769">
    <cfRule type="expression" dxfId="1649" priority="2638">
      <formula>XEV19=""</formula>
    </cfRule>
    <cfRule type="expression" priority="2639">
      <formula>XEV19&gt;0</formula>
    </cfRule>
    <cfRule type="cellIs" dxfId="1648" priority="2640" operator="greaterThan">
      <formula>0</formula>
    </cfRule>
  </conditionalFormatting>
  <conditionalFormatting sqref="F19:F603 F614:F769">
    <cfRule type="expression" dxfId="1647" priority="2635">
      <formula>XEV19=""</formula>
    </cfRule>
    <cfRule type="expression" priority="2636">
      <formula>XEV19&gt;0</formula>
    </cfRule>
    <cfRule type="cellIs" dxfId="1646" priority="2637" operator="greaterThan">
      <formula>0</formula>
    </cfRule>
  </conditionalFormatting>
  <conditionalFormatting sqref="F19:F603 F614:F769">
    <cfRule type="expression" dxfId="1645" priority="2632">
      <formula>XEV19=""</formula>
    </cfRule>
    <cfRule type="expression" priority="2633">
      <formula>XEV19&gt;0</formula>
    </cfRule>
    <cfRule type="cellIs" dxfId="1644" priority="2634" operator="greaterThan">
      <formula>0</formula>
    </cfRule>
  </conditionalFormatting>
  <conditionalFormatting sqref="F19:F603 F614:F769">
    <cfRule type="expression" dxfId="1643" priority="2629">
      <formula>XEV19=""</formula>
    </cfRule>
    <cfRule type="expression" priority="2630">
      <formula>XEV19&gt;0</formula>
    </cfRule>
    <cfRule type="cellIs" dxfId="1642" priority="2631" operator="greaterThan">
      <formula>0</formula>
    </cfRule>
  </conditionalFormatting>
  <conditionalFormatting sqref="F19:F603 F614:F769">
    <cfRule type="expression" dxfId="1641" priority="2626">
      <formula>XEV19=""</formula>
    </cfRule>
    <cfRule type="expression" priority="2627">
      <formula>XEV19&gt;0</formula>
    </cfRule>
    <cfRule type="cellIs" dxfId="1640" priority="2628" operator="greaterThan">
      <formula>0</formula>
    </cfRule>
  </conditionalFormatting>
  <conditionalFormatting sqref="F19:F603 F614:F769">
    <cfRule type="expression" dxfId="1639" priority="2623">
      <formula>XEV19=""</formula>
    </cfRule>
    <cfRule type="expression" priority="2624">
      <formula>XEV19&gt;0</formula>
    </cfRule>
    <cfRule type="cellIs" dxfId="1638" priority="2625" operator="greaterThan">
      <formula>0</formula>
    </cfRule>
  </conditionalFormatting>
  <conditionalFormatting sqref="F19:F603 F614:F769">
    <cfRule type="expression" dxfId="1637" priority="2620">
      <formula>XEV19=""</formula>
    </cfRule>
    <cfRule type="expression" priority="2621">
      <formula>XEV19&gt;0</formula>
    </cfRule>
    <cfRule type="cellIs" dxfId="1636" priority="2622" operator="greaterThan">
      <formula>0</formula>
    </cfRule>
  </conditionalFormatting>
  <conditionalFormatting sqref="F19:F603 F614:F769">
    <cfRule type="expression" dxfId="1635" priority="2617">
      <formula>XEV19=""</formula>
    </cfRule>
    <cfRule type="expression" priority="2618">
      <formula>XEV19&gt;0</formula>
    </cfRule>
    <cfRule type="cellIs" dxfId="1634" priority="2619" operator="greaterThan">
      <formula>0</formula>
    </cfRule>
  </conditionalFormatting>
  <conditionalFormatting sqref="F19:F603 F614:F769">
    <cfRule type="expression" dxfId="1633" priority="2614">
      <formula>XEV19=""</formula>
    </cfRule>
    <cfRule type="expression" priority="2615">
      <formula>XEV19&gt;0</formula>
    </cfRule>
    <cfRule type="cellIs" dxfId="1632" priority="2616" operator="greaterThan">
      <formula>0</formula>
    </cfRule>
  </conditionalFormatting>
  <conditionalFormatting sqref="F19:F603 F614:F769">
    <cfRule type="expression" dxfId="1631" priority="2611">
      <formula>XEV19=""</formula>
    </cfRule>
    <cfRule type="expression" priority="2612">
      <formula>XEV19&gt;0</formula>
    </cfRule>
    <cfRule type="cellIs" dxfId="1630" priority="2613" operator="greaterThan">
      <formula>0</formula>
    </cfRule>
  </conditionalFormatting>
  <conditionalFormatting sqref="F19:F603 F614:F769">
    <cfRule type="expression" dxfId="1629" priority="2608">
      <formula>XEV19=""</formula>
    </cfRule>
    <cfRule type="expression" priority="2609">
      <formula>XEV19&gt;0</formula>
    </cfRule>
    <cfRule type="cellIs" dxfId="1628" priority="2610" operator="greaterThan">
      <formula>0</formula>
    </cfRule>
  </conditionalFormatting>
  <conditionalFormatting sqref="F19:F603 F614:F769">
    <cfRule type="expression" dxfId="1627" priority="2605">
      <formula>XEV19=""</formula>
    </cfRule>
    <cfRule type="expression" priority="2606">
      <formula>XEV19&gt;0</formula>
    </cfRule>
    <cfRule type="cellIs" dxfId="1626" priority="2607" operator="greaterThan">
      <formula>0</formula>
    </cfRule>
  </conditionalFormatting>
  <conditionalFormatting sqref="F19:F603 F614:F769">
    <cfRule type="expression" dxfId="1625" priority="2602">
      <formula>XEV19=""</formula>
    </cfRule>
    <cfRule type="expression" priority="2603">
      <formula>XEV19&gt;0</formula>
    </cfRule>
    <cfRule type="cellIs" dxfId="1624" priority="2604" operator="greaterThan">
      <formula>0</formula>
    </cfRule>
  </conditionalFormatting>
  <conditionalFormatting sqref="F19:F603 F614:F769">
    <cfRule type="expression" dxfId="1623" priority="2599">
      <formula>XEV19=""</formula>
    </cfRule>
    <cfRule type="expression" priority="2600">
      <formula>XEV19&gt;0</formula>
    </cfRule>
    <cfRule type="cellIs" dxfId="1622" priority="2601" operator="greaterThan">
      <formula>0</formula>
    </cfRule>
  </conditionalFormatting>
  <conditionalFormatting sqref="F19:F603 F614:F769">
    <cfRule type="expression" dxfId="1621" priority="2596">
      <formula>XEV19=""</formula>
    </cfRule>
    <cfRule type="expression" priority="2597">
      <formula>XEV19&gt;0</formula>
    </cfRule>
    <cfRule type="cellIs" dxfId="1620" priority="2598" operator="greaterThan">
      <formula>0</formula>
    </cfRule>
  </conditionalFormatting>
  <conditionalFormatting sqref="F19:F603 F614:F769">
    <cfRule type="expression" dxfId="1619" priority="2593">
      <formula>XEV19=""</formula>
    </cfRule>
    <cfRule type="expression" priority="2594">
      <formula>XEV19&gt;0</formula>
    </cfRule>
    <cfRule type="cellIs" dxfId="1618" priority="2595" operator="greaterThan">
      <formula>0</formula>
    </cfRule>
  </conditionalFormatting>
  <conditionalFormatting sqref="F19:F603 F614:F769">
    <cfRule type="expression" dxfId="1617" priority="2590">
      <formula>XEV19=""</formula>
    </cfRule>
    <cfRule type="expression" priority="2591">
      <formula>XEV19&gt;0</formula>
    </cfRule>
    <cfRule type="cellIs" dxfId="1616" priority="2592" operator="greaterThan">
      <formula>0</formula>
    </cfRule>
  </conditionalFormatting>
  <conditionalFormatting sqref="F19:F603 F614:F769">
    <cfRule type="expression" dxfId="1615" priority="2587">
      <formula>XEV19=""</formula>
    </cfRule>
    <cfRule type="expression" priority="2588">
      <formula>XEV19&gt;0</formula>
    </cfRule>
    <cfRule type="cellIs" dxfId="1614" priority="2589" operator="greaterThan">
      <formula>0</formula>
    </cfRule>
  </conditionalFormatting>
  <conditionalFormatting sqref="F19:F603 F614:F769">
    <cfRule type="expression" dxfId="1613" priority="2584">
      <formula>XEV19=""</formula>
    </cfRule>
    <cfRule type="expression" priority="2585">
      <formula>XEV19&gt;0</formula>
    </cfRule>
    <cfRule type="cellIs" dxfId="1612" priority="2586" operator="greaterThan">
      <formula>0</formula>
    </cfRule>
  </conditionalFormatting>
  <conditionalFormatting sqref="F19:F603 F614:F769">
    <cfRule type="expression" dxfId="1611" priority="2581">
      <formula>XEV19=""</formula>
    </cfRule>
    <cfRule type="expression" priority="2582">
      <formula>XEV19&gt;0</formula>
    </cfRule>
    <cfRule type="cellIs" dxfId="1610" priority="2583" operator="greaterThan">
      <formula>0</formula>
    </cfRule>
  </conditionalFormatting>
  <conditionalFormatting sqref="F19:F603 F614:F769">
    <cfRule type="expression" dxfId="1609" priority="2578">
      <formula>XEV19=""</formula>
    </cfRule>
    <cfRule type="expression" priority="2579">
      <formula>XEV19&gt;0</formula>
    </cfRule>
    <cfRule type="cellIs" dxfId="1608" priority="2580" operator="greaterThan">
      <formula>0</formula>
    </cfRule>
  </conditionalFormatting>
  <conditionalFormatting sqref="F19:F603 F614:F769">
    <cfRule type="expression" dxfId="1607" priority="2575">
      <formula>XEV19=""</formula>
    </cfRule>
    <cfRule type="expression" priority="2576">
      <formula>XEV19&gt;0</formula>
    </cfRule>
    <cfRule type="cellIs" dxfId="1606" priority="2577" operator="greaterThan">
      <formula>0</formula>
    </cfRule>
  </conditionalFormatting>
  <conditionalFormatting sqref="F19:F603 F614:F769">
    <cfRule type="expression" dxfId="1605" priority="2572">
      <formula>XEV19=""</formula>
    </cfRule>
    <cfRule type="expression" priority="2573">
      <formula>XEV19&gt;0</formula>
    </cfRule>
    <cfRule type="cellIs" dxfId="1604" priority="2574" operator="greaterThan">
      <formula>0</formula>
    </cfRule>
  </conditionalFormatting>
  <conditionalFormatting sqref="F19:F603 F614:F769">
    <cfRule type="expression" dxfId="1603" priority="2569">
      <formula>XEV19=""</formula>
    </cfRule>
    <cfRule type="expression" priority="2570">
      <formula>XEV19&gt;0</formula>
    </cfRule>
    <cfRule type="cellIs" dxfId="1602" priority="2571" operator="greaterThan">
      <formula>0</formula>
    </cfRule>
  </conditionalFormatting>
  <conditionalFormatting sqref="F19:F603 F614:F769">
    <cfRule type="expression" dxfId="1601" priority="2566">
      <formula>XEV19=""</formula>
    </cfRule>
    <cfRule type="expression" priority="2567">
      <formula>XEV19&gt;0</formula>
    </cfRule>
    <cfRule type="cellIs" dxfId="1600" priority="2568" operator="greaterThan">
      <formula>0</formula>
    </cfRule>
  </conditionalFormatting>
  <conditionalFormatting sqref="F19:F603 F614:F769">
    <cfRule type="expression" dxfId="1599" priority="2563">
      <formula>XEV19=""</formula>
    </cfRule>
    <cfRule type="expression" priority="2564">
      <formula>XEV19&gt;0</formula>
    </cfRule>
    <cfRule type="cellIs" dxfId="1598" priority="2565" operator="greaterThan">
      <formula>0</formula>
    </cfRule>
  </conditionalFormatting>
  <conditionalFormatting sqref="F19:F603 F614:F769">
    <cfRule type="expression" dxfId="1597" priority="2560">
      <formula>XEV19=""</formula>
    </cfRule>
    <cfRule type="expression" priority="2561">
      <formula>XEV19&gt;0</formula>
    </cfRule>
    <cfRule type="cellIs" dxfId="1596" priority="2562" operator="greaterThan">
      <formula>0</formula>
    </cfRule>
  </conditionalFormatting>
  <conditionalFormatting sqref="F19:F603 F614:F769">
    <cfRule type="expression" dxfId="1595" priority="2557">
      <formula>XEV19=""</formula>
    </cfRule>
    <cfRule type="expression" priority="2558">
      <formula>XEV19&gt;0</formula>
    </cfRule>
    <cfRule type="cellIs" dxfId="1594" priority="2559" operator="greaterThan">
      <formula>0</formula>
    </cfRule>
  </conditionalFormatting>
  <conditionalFormatting sqref="F19:F603 F614:F769">
    <cfRule type="expression" dxfId="1593" priority="2554">
      <formula>XEV19=""</formula>
    </cfRule>
    <cfRule type="expression" priority="2555">
      <formula>XEV19&gt;0</formula>
    </cfRule>
    <cfRule type="cellIs" dxfId="1592" priority="2556" operator="greaterThan">
      <formula>0</formula>
    </cfRule>
  </conditionalFormatting>
  <conditionalFormatting sqref="F19:F603 F614:F769">
    <cfRule type="expression" dxfId="1591" priority="2551">
      <formula>XEV19=""</formula>
    </cfRule>
    <cfRule type="expression" priority="2552">
      <formula>XEV19&gt;0</formula>
    </cfRule>
    <cfRule type="cellIs" dxfId="1590" priority="2553" operator="greaterThan">
      <formula>0</formula>
    </cfRule>
  </conditionalFormatting>
  <conditionalFormatting sqref="F19:F603 F614:F769">
    <cfRule type="expression" dxfId="1589" priority="2548">
      <formula>XEV19=""</formula>
    </cfRule>
    <cfRule type="expression" priority="2549">
      <formula>XEV19&gt;0</formula>
    </cfRule>
    <cfRule type="cellIs" dxfId="1588" priority="2550" operator="greaterThan">
      <formula>0</formula>
    </cfRule>
  </conditionalFormatting>
  <conditionalFormatting sqref="F19:F603 F614:F769">
    <cfRule type="expression" dxfId="1587" priority="2545">
      <formula>XEV19=""</formula>
    </cfRule>
    <cfRule type="expression" priority="2546">
      <formula>XEV19&gt;0</formula>
    </cfRule>
    <cfRule type="cellIs" dxfId="1586" priority="2547" operator="greaterThan">
      <formula>0</formula>
    </cfRule>
  </conditionalFormatting>
  <conditionalFormatting sqref="F19:F603 F614:F769">
    <cfRule type="expression" dxfId="1585" priority="2542">
      <formula>XEV19=""</formula>
    </cfRule>
    <cfRule type="expression" priority="2543">
      <formula>XEV19&gt;0</formula>
    </cfRule>
    <cfRule type="cellIs" dxfId="1584" priority="2544" operator="greaterThan">
      <formula>0</formula>
    </cfRule>
  </conditionalFormatting>
  <conditionalFormatting sqref="F19:F603 F614:F769">
    <cfRule type="expression" dxfId="1583" priority="2539">
      <formula>XEV19=""</formula>
    </cfRule>
    <cfRule type="expression" priority="2540">
      <formula>XEV19&gt;0</formula>
    </cfRule>
    <cfRule type="cellIs" dxfId="1582" priority="2541" operator="greaterThan">
      <formula>0</formula>
    </cfRule>
  </conditionalFormatting>
  <conditionalFormatting sqref="F19:F603 F614:F769">
    <cfRule type="expression" dxfId="1581" priority="2536">
      <formula>XEV19=""</formula>
    </cfRule>
    <cfRule type="expression" priority="2537">
      <formula>XEV19&gt;0</formula>
    </cfRule>
    <cfRule type="cellIs" dxfId="1580" priority="2538" operator="greaterThan">
      <formula>0</formula>
    </cfRule>
  </conditionalFormatting>
  <conditionalFormatting sqref="F19:F603 F614:F769">
    <cfRule type="expression" dxfId="1579" priority="2533">
      <formula>XEV19=""</formula>
    </cfRule>
    <cfRule type="expression" priority="2534">
      <formula>XEV19&gt;0</formula>
    </cfRule>
    <cfRule type="cellIs" dxfId="1578" priority="2535" operator="greaterThan">
      <formula>0</formula>
    </cfRule>
  </conditionalFormatting>
  <conditionalFormatting sqref="F19:F603 F614:F769">
    <cfRule type="expression" dxfId="1577" priority="2530">
      <formula>XEV19=""</formula>
    </cfRule>
    <cfRule type="expression" priority="2531">
      <formula>XEV19&gt;0</formula>
    </cfRule>
    <cfRule type="cellIs" dxfId="1576" priority="2532" operator="greaterThan">
      <formula>0</formula>
    </cfRule>
  </conditionalFormatting>
  <conditionalFormatting sqref="F19:F603 F614:F769">
    <cfRule type="expression" dxfId="1575" priority="2527">
      <formula>XEV19=""</formula>
    </cfRule>
    <cfRule type="expression" priority="2528">
      <formula>XEV19&gt;0</formula>
    </cfRule>
    <cfRule type="cellIs" dxfId="1574" priority="2529" operator="greaterThan">
      <formula>0</formula>
    </cfRule>
  </conditionalFormatting>
  <conditionalFormatting sqref="F19:F603 F614:F769">
    <cfRule type="expression" dxfId="1573" priority="2524">
      <formula>XEV19=""</formula>
    </cfRule>
    <cfRule type="expression" priority="2525">
      <formula>XEV19&gt;0</formula>
    </cfRule>
    <cfRule type="cellIs" dxfId="1572" priority="2526" operator="greaterThan">
      <formula>0</formula>
    </cfRule>
  </conditionalFormatting>
  <conditionalFormatting sqref="F19:F603 F614:F769">
    <cfRule type="expression" dxfId="1571" priority="2521">
      <formula>XEV19=""</formula>
    </cfRule>
    <cfRule type="expression" priority="2522">
      <formula>XEV19&gt;0</formula>
    </cfRule>
    <cfRule type="cellIs" dxfId="1570" priority="2523" operator="greaterThan">
      <formula>0</formula>
    </cfRule>
  </conditionalFormatting>
  <conditionalFormatting sqref="F19:F603 F614:F769">
    <cfRule type="expression" dxfId="1569" priority="2518">
      <formula>XEV19=""</formula>
    </cfRule>
    <cfRule type="expression" priority="2519">
      <formula>XEV19&gt;0</formula>
    </cfRule>
    <cfRule type="cellIs" dxfId="1568" priority="2520" operator="greaterThan">
      <formula>0</formula>
    </cfRule>
  </conditionalFormatting>
  <conditionalFormatting sqref="F19:F603 F614:F769">
    <cfRule type="expression" dxfId="1567" priority="2515">
      <formula>XEV19=""</formula>
    </cfRule>
    <cfRule type="expression" priority="2516">
      <formula>XEV19&gt;0</formula>
    </cfRule>
    <cfRule type="cellIs" dxfId="1566" priority="2517" operator="greaterThan">
      <formula>0</formula>
    </cfRule>
  </conditionalFormatting>
  <conditionalFormatting sqref="F19:F603 F614:F769">
    <cfRule type="expression" dxfId="1565" priority="2512">
      <formula>XEV19=""</formula>
    </cfRule>
    <cfRule type="expression" priority="2513">
      <formula>XEV19&gt;0</formula>
    </cfRule>
    <cfRule type="cellIs" dxfId="1564" priority="2514" operator="greaterThan">
      <formula>0</formula>
    </cfRule>
  </conditionalFormatting>
  <conditionalFormatting sqref="F19:F603 F614:F769">
    <cfRule type="expression" dxfId="1563" priority="2509">
      <formula>XEV19=""</formula>
    </cfRule>
    <cfRule type="expression" priority="2510">
      <formula>XEV19&gt;0</formula>
    </cfRule>
    <cfRule type="cellIs" dxfId="1562" priority="2511" operator="greaterThan">
      <formula>0</formula>
    </cfRule>
  </conditionalFormatting>
  <conditionalFormatting sqref="F19:F603 F614:F769">
    <cfRule type="expression" dxfId="1561" priority="2506">
      <formula>XEV19=""</formula>
    </cfRule>
    <cfRule type="expression" priority="2507">
      <formula>XEV19&gt;0</formula>
    </cfRule>
    <cfRule type="cellIs" dxfId="1560" priority="2508" operator="greaterThan">
      <formula>0</formula>
    </cfRule>
  </conditionalFormatting>
  <conditionalFormatting sqref="F19:F603 F614:F769">
    <cfRule type="expression" dxfId="1559" priority="2503">
      <formula>XEV19=""</formula>
    </cfRule>
    <cfRule type="expression" priority="2504">
      <formula>XEV19&gt;0</formula>
    </cfRule>
    <cfRule type="cellIs" dxfId="1558" priority="2505" operator="greaterThan">
      <formula>0</formula>
    </cfRule>
  </conditionalFormatting>
  <conditionalFormatting sqref="F19:F603 F614:F769">
    <cfRule type="expression" dxfId="1557" priority="2500">
      <formula>XEV19=""</formula>
    </cfRule>
    <cfRule type="expression" priority="2501">
      <formula>XEV19&gt;0</formula>
    </cfRule>
    <cfRule type="cellIs" dxfId="1556" priority="2502" operator="greaterThan">
      <formula>0</formula>
    </cfRule>
  </conditionalFormatting>
  <conditionalFormatting sqref="F19:F603 F614:F769">
    <cfRule type="expression" dxfId="1555" priority="2497">
      <formula>XEV19=""</formula>
    </cfRule>
    <cfRule type="expression" priority="2498">
      <formula>XEV19&gt;0</formula>
    </cfRule>
    <cfRule type="cellIs" dxfId="1554" priority="2499" operator="greaterThan">
      <formula>0</formula>
    </cfRule>
  </conditionalFormatting>
  <conditionalFormatting sqref="F19:F603 F614:F769">
    <cfRule type="expression" dxfId="1553" priority="2494">
      <formula>XEV19=""</formula>
    </cfRule>
    <cfRule type="expression" priority="2495">
      <formula>XEV19&gt;0</formula>
    </cfRule>
    <cfRule type="cellIs" dxfId="1552" priority="2496" operator="greaterThan">
      <formula>0</formula>
    </cfRule>
  </conditionalFormatting>
  <conditionalFormatting sqref="F19:F603 F614:F769">
    <cfRule type="expression" dxfId="1551" priority="2491">
      <formula>XEV19=""</formula>
    </cfRule>
    <cfRule type="expression" priority="2492">
      <formula>XEV19&gt;0</formula>
    </cfRule>
    <cfRule type="cellIs" dxfId="1550" priority="2493" operator="greaterThan">
      <formula>0</formula>
    </cfRule>
  </conditionalFormatting>
  <conditionalFormatting sqref="F19:F603 F614:F769">
    <cfRule type="expression" dxfId="1549" priority="2488">
      <formula>XEV19=""</formula>
    </cfRule>
    <cfRule type="expression" priority="2489">
      <formula>XEV19&gt;0</formula>
    </cfRule>
    <cfRule type="cellIs" dxfId="1548" priority="2490" operator="greaterThan">
      <formula>0</formula>
    </cfRule>
  </conditionalFormatting>
  <conditionalFormatting sqref="F19:F603 F614:F769">
    <cfRule type="expression" dxfId="1547" priority="2485">
      <formula>XEV19=""</formula>
    </cfRule>
    <cfRule type="expression" priority="2486">
      <formula>XEV19&gt;0</formula>
    </cfRule>
    <cfRule type="cellIs" dxfId="1546" priority="2487" operator="greaterThan">
      <formula>0</formula>
    </cfRule>
  </conditionalFormatting>
  <conditionalFormatting sqref="G19:G603 G614:G769">
    <cfRule type="expression" dxfId="1545" priority="2482">
      <formula>XEW19=""</formula>
    </cfRule>
    <cfRule type="expression" priority="2483">
      <formula>XEW19&gt;0</formula>
    </cfRule>
    <cfRule type="cellIs" dxfId="1544" priority="2484" operator="greaterThan">
      <formula>0</formula>
    </cfRule>
  </conditionalFormatting>
  <conditionalFormatting sqref="G19:G603 G614:G769">
    <cfRule type="expression" dxfId="1543" priority="2479">
      <formula>XEW19=""</formula>
    </cfRule>
    <cfRule type="expression" priority="2480">
      <formula>XEW19&gt;0</formula>
    </cfRule>
    <cfRule type="cellIs" dxfId="1542" priority="2481" operator="greaterThan">
      <formula>0</formula>
    </cfRule>
  </conditionalFormatting>
  <conditionalFormatting sqref="G19:G603 G614:G769">
    <cfRule type="expression" dxfId="1541" priority="2476">
      <formula>XEW19=""</formula>
    </cfRule>
    <cfRule type="expression" priority="2477">
      <formula>XEW19&gt;0</formula>
    </cfRule>
    <cfRule type="cellIs" dxfId="1540" priority="2478" operator="greaterThan">
      <formula>0</formula>
    </cfRule>
  </conditionalFormatting>
  <conditionalFormatting sqref="G19:G603 G614:G769">
    <cfRule type="expression" dxfId="1539" priority="2473">
      <formula>XEW19=""</formula>
    </cfRule>
    <cfRule type="expression" priority="2474">
      <formula>XEW19&gt;0</formula>
    </cfRule>
    <cfRule type="cellIs" dxfId="1538" priority="2475" operator="greaterThan">
      <formula>0</formula>
    </cfRule>
  </conditionalFormatting>
  <conditionalFormatting sqref="G19:G603 G614:G769">
    <cfRule type="expression" dxfId="1537" priority="2470">
      <formula>XEW19=""</formula>
    </cfRule>
    <cfRule type="expression" priority="2471">
      <formula>XEW19&gt;0</formula>
    </cfRule>
    <cfRule type="cellIs" dxfId="1536" priority="2472" operator="greaterThan">
      <formula>0</formula>
    </cfRule>
  </conditionalFormatting>
  <conditionalFormatting sqref="G19:G603 G614:G769">
    <cfRule type="expression" dxfId="1535" priority="2467">
      <formula>XEW19=""</formula>
    </cfRule>
    <cfRule type="expression" priority="2468">
      <formula>XEW19&gt;0</formula>
    </cfRule>
    <cfRule type="cellIs" dxfId="1534" priority="2469" operator="greaterThan">
      <formula>0</formula>
    </cfRule>
  </conditionalFormatting>
  <conditionalFormatting sqref="G19:G603 G614:G769">
    <cfRule type="expression" dxfId="1533" priority="2464">
      <formula>XEW19=""</formula>
    </cfRule>
    <cfRule type="expression" priority="2465">
      <formula>XEW19&gt;0</formula>
    </cfRule>
    <cfRule type="cellIs" dxfId="1532" priority="2466" operator="greaterThan">
      <formula>0</formula>
    </cfRule>
  </conditionalFormatting>
  <conditionalFormatting sqref="G19:G603 G614:G769">
    <cfRule type="expression" dxfId="1531" priority="2461">
      <formula>XEW19=""</formula>
    </cfRule>
    <cfRule type="expression" priority="2462">
      <formula>XEW19&gt;0</formula>
    </cfRule>
    <cfRule type="cellIs" dxfId="1530" priority="2463" operator="greaterThan">
      <formula>0</formula>
    </cfRule>
  </conditionalFormatting>
  <conditionalFormatting sqref="G19:G603 G614:G769">
    <cfRule type="expression" dxfId="1529" priority="2458">
      <formula>XEW19=""</formula>
    </cfRule>
    <cfRule type="expression" priority="2459">
      <formula>XEW19&gt;0</formula>
    </cfRule>
    <cfRule type="cellIs" dxfId="1528" priority="2460" operator="greaterThan">
      <formula>0</formula>
    </cfRule>
  </conditionalFormatting>
  <conditionalFormatting sqref="G19:G603 G614:G769">
    <cfRule type="expression" dxfId="1527" priority="2455">
      <formula>XEW19=""</formula>
    </cfRule>
    <cfRule type="expression" priority="2456">
      <formula>XEW19&gt;0</formula>
    </cfRule>
    <cfRule type="cellIs" dxfId="1526" priority="2457" operator="greaterThan">
      <formula>0</formula>
    </cfRule>
  </conditionalFormatting>
  <conditionalFormatting sqref="G19:G603 G614:G769">
    <cfRule type="expression" dxfId="1525" priority="2452">
      <formula>XEW19=""</formula>
    </cfRule>
    <cfRule type="expression" priority="2453">
      <formula>XEW19&gt;0</formula>
    </cfRule>
    <cfRule type="cellIs" dxfId="1524" priority="2454" operator="greaterThan">
      <formula>0</formula>
    </cfRule>
  </conditionalFormatting>
  <conditionalFormatting sqref="G19:G603 G614:G769">
    <cfRule type="expression" dxfId="1523" priority="2449">
      <formula>XEW19=""</formula>
    </cfRule>
    <cfRule type="expression" priority="2450">
      <formula>XEW19&gt;0</formula>
    </cfRule>
    <cfRule type="cellIs" dxfId="1522" priority="2451" operator="greaterThan">
      <formula>0</formula>
    </cfRule>
  </conditionalFormatting>
  <conditionalFormatting sqref="G19:G603 G614:G769">
    <cfRule type="expression" dxfId="1521" priority="2446">
      <formula>XEW19=""</formula>
    </cfRule>
    <cfRule type="expression" priority="2447">
      <formula>XEW19&gt;0</formula>
    </cfRule>
    <cfRule type="cellIs" dxfId="1520" priority="2448" operator="greaterThan">
      <formula>0</formula>
    </cfRule>
  </conditionalFormatting>
  <conditionalFormatting sqref="G19:G603 G614:G769">
    <cfRule type="expression" dxfId="1519" priority="2443">
      <formula>XEW19=""</formula>
    </cfRule>
    <cfRule type="expression" priority="2444">
      <formula>XEW19&gt;0</formula>
    </cfRule>
    <cfRule type="cellIs" dxfId="1518" priority="2445" operator="greaterThan">
      <formula>0</formula>
    </cfRule>
  </conditionalFormatting>
  <conditionalFormatting sqref="G19:G603 G614:G769">
    <cfRule type="expression" dxfId="1517" priority="2440">
      <formula>XEW19=""</formula>
    </cfRule>
    <cfRule type="expression" priority="2441">
      <formula>XEW19&gt;0</formula>
    </cfRule>
    <cfRule type="cellIs" dxfId="1516" priority="2442" operator="greaterThan">
      <formula>0</formula>
    </cfRule>
  </conditionalFormatting>
  <conditionalFormatting sqref="G19:G603 G614:G769">
    <cfRule type="expression" dxfId="1515" priority="2437">
      <formula>XEW19=""</formula>
    </cfRule>
    <cfRule type="expression" priority="2438">
      <formula>XEW19&gt;0</formula>
    </cfRule>
    <cfRule type="cellIs" dxfId="1514" priority="2439" operator="greaterThan">
      <formula>0</formula>
    </cfRule>
  </conditionalFormatting>
  <conditionalFormatting sqref="G19:G603 G614:G769">
    <cfRule type="expression" dxfId="1513" priority="2434">
      <formula>XEW19=""</formula>
    </cfRule>
    <cfRule type="expression" priority="2435">
      <formula>XEW19&gt;0</formula>
    </cfRule>
    <cfRule type="cellIs" dxfId="1512" priority="2436" operator="greaterThan">
      <formula>0</formula>
    </cfRule>
  </conditionalFormatting>
  <conditionalFormatting sqref="G19:G603 G614:G769">
    <cfRule type="expression" dxfId="1511" priority="2431">
      <formula>XEW19=""</formula>
    </cfRule>
    <cfRule type="expression" priority="2432">
      <formula>XEW19&gt;0</formula>
    </cfRule>
    <cfRule type="cellIs" dxfId="1510" priority="2433" operator="greaterThan">
      <formula>0</formula>
    </cfRule>
  </conditionalFormatting>
  <conditionalFormatting sqref="G19:G603 G614:G769">
    <cfRule type="expression" dxfId="1509" priority="2428">
      <formula>XEW19=""</formula>
    </cfRule>
    <cfRule type="expression" priority="2429">
      <formula>XEW19&gt;0</formula>
    </cfRule>
    <cfRule type="cellIs" dxfId="1508" priority="2430" operator="greaterThan">
      <formula>0</formula>
    </cfRule>
  </conditionalFormatting>
  <conditionalFormatting sqref="G19:G603 G614:G769">
    <cfRule type="expression" dxfId="1507" priority="2425">
      <formula>XEW19=""</formula>
    </cfRule>
    <cfRule type="expression" priority="2426">
      <formula>XEW19&gt;0</formula>
    </cfRule>
    <cfRule type="cellIs" dxfId="1506" priority="2427" operator="greaterThan">
      <formula>0</formula>
    </cfRule>
  </conditionalFormatting>
  <conditionalFormatting sqref="G19:G603 G614:G769">
    <cfRule type="expression" dxfId="1505" priority="2422">
      <formula>XEW19=""</formula>
    </cfRule>
    <cfRule type="expression" priority="2423">
      <formula>XEW19&gt;0</formula>
    </cfRule>
    <cfRule type="cellIs" dxfId="1504" priority="2424" operator="greaterThan">
      <formula>0</formula>
    </cfRule>
  </conditionalFormatting>
  <conditionalFormatting sqref="G19:G603 G614:G769">
    <cfRule type="expression" dxfId="1503" priority="2419">
      <formula>XEW19=""</formula>
    </cfRule>
    <cfRule type="expression" priority="2420">
      <formula>XEW19&gt;0</formula>
    </cfRule>
    <cfRule type="cellIs" dxfId="1502" priority="2421" operator="greaterThan">
      <formula>0</formula>
    </cfRule>
  </conditionalFormatting>
  <conditionalFormatting sqref="G19:G603 G614:G769">
    <cfRule type="expression" dxfId="1501" priority="2416">
      <formula>XEW19=""</formula>
    </cfRule>
    <cfRule type="expression" priority="2417">
      <formula>XEW19&gt;0</formula>
    </cfRule>
    <cfRule type="cellIs" dxfId="1500" priority="2418" operator="greaterThan">
      <formula>0</formula>
    </cfRule>
  </conditionalFormatting>
  <conditionalFormatting sqref="G19:G603 G614:G769">
    <cfRule type="expression" dxfId="1499" priority="2413">
      <formula>XEW19=""</formula>
    </cfRule>
    <cfRule type="expression" priority="2414">
      <formula>XEW19&gt;0</formula>
    </cfRule>
    <cfRule type="cellIs" dxfId="1498" priority="2415" operator="greaterThan">
      <formula>0</formula>
    </cfRule>
  </conditionalFormatting>
  <conditionalFormatting sqref="G19:G603 G614:G769">
    <cfRule type="expression" dxfId="1497" priority="2410">
      <formula>XEW19=""</formula>
    </cfRule>
    <cfRule type="expression" priority="2411">
      <formula>XEW19&gt;0</formula>
    </cfRule>
    <cfRule type="cellIs" dxfId="1496" priority="2412" operator="greaterThan">
      <formula>0</formula>
    </cfRule>
  </conditionalFormatting>
  <conditionalFormatting sqref="G19:G603 G614:G769">
    <cfRule type="expression" dxfId="1495" priority="2407">
      <formula>XEW19=""</formula>
    </cfRule>
    <cfRule type="expression" priority="2408">
      <formula>XEW19&gt;0</formula>
    </cfRule>
    <cfRule type="cellIs" dxfId="1494" priority="2409" operator="greaterThan">
      <formula>0</formula>
    </cfRule>
  </conditionalFormatting>
  <conditionalFormatting sqref="G19:G603 G614:G769">
    <cfRule type="expression" dxfId="1493" priority="2404">
      <formula>XEW19=""</formula>
    </cfRule>
    <cfRule type="expression" priority="2405">
      <formula>XEW19&gt;0</formula>
    </cfRule>
    <cfRule type="cellIs" dxfId="1492" priority="2406" operator="greaterThan">
      <formula>0</formula>
    </cfRule>
  </conditionalFormatting>
  <conditionalFormatting sqref="G19:G603 G614:G769">
    <cfRule type="expression" dxfId="1491" priority="2401">
      <formula>XEW19=""</formula>
    </cfRule>
    <cfRule type="expression" priority="2402">
      <formula>XEW19&gt;0</formula>
    </cfRule>
    <cfRule type="cellIs" dxfId="1490" priority="2403" operator="greaterThan">
      <formula>0</formula>
    </cfRule>
  </conditionalFormatting>
  <conditionalFormatting sqref="G19:G603 G614:G769">
    <cfRule type="expression" dxfId="1489" priority="2398">
      <formula>XEW19=""</formula>
    </cfRule>
    <cfRule type="expression" priority="2399">
      <formula>XEW19&gt;0</formula>
    </cfRule>
    <cfRule type="cellIs" dxfId="1488" priority="2400" operator="greaterThan">
      <formula>0</formula>
    </cfRule>
  </conditionalFormatting>
  <conditionalFormatting sqref="G19:G603 G614:G769">
    <cfRule type="expression" dxfId="1487" priority="2395">
      <formula>XEW19=""</formula>
    </cfRule>
    <cfRule type="expression" priority="2396">
      <formula>XEW19&gt;0</formula>
    </cfRule>
    <cfRule type="cellIs" dxfId="1486" priority="2397" operator="greaterThan">
      <formula>0</formula>
    </cfRule>
  </conditionalFormatting>
  <conditionalFormatting sqref="G19:G603 G614:G769">
    <cfRule type="expression" dxfId="1485" priority="2392">
      <formula>XEW19=""</formula>
    </cfRule>
    <cfRule type="expression" priority="2393">
      <formula>XEW19&gt;0</formula>
    </cfRule>
    <cfRule type="cellIs" dxfId="1484" priority="2394" operator="greaterThan">
      <formula>0</formula>
    </cfRule>
  </conditionalFormatting>
  <conditionalFormatting sqref="G19:G603 G614:G769">
    <cfRule type="expression" dxfId="1483" priority="2389">
      <formula>XEW19=""</formula>
    </cfRule>
    <cfRule type="expression" priority="2390">
      <formula>XEW19&gt;0</formula>
    </cfRule>
    <cfRule type="cellIs" dxfId="1482" priority="2391" operator="greaterThan">
      <formula>0</formula>
    </cfRule>
  </conditionalFormatting>
  <conditionalFormatting sqref="G19:G603 G614:G769">
    <cfRule type="expression" dxfId="1481" priority="2386">
      <formula>XEW19=""</formula>
    </cfRule>
    <cfRule type="expression" priority="2387">
      <formula>XEW19&gt;0</formula>
    </cfRule>
    <cfRule type="cellIs" dxfId="1480" priority="2388" operator="greaterThan">
      <formula>0</formula>
    </cfRule>
  </conditionalFormatting>
  <conditionalFormatting sqref="G19:G603 G614:G769">
    <cfRule type="expression" dxfId="1479" priority="2383">
      <formula>XEW19=""</formula>
    </cfRule>
    <cfRule type="expression" priority="2384">
      <formula>XEW19&gt;0</formula>
    </cfRule>
    <cfRule type="cellIs" dxfId="1478" priority="2385" operator="greaterThan">
      <formula>0</formula>
    </cfRule>
  </conditionalFormatting>
  <conditionalFormatting sqref="G19:G603 G614:G769">
    <cfRule type="expression" dxfId="1477" priority="2380">
      <formula>XEW19=""</formula>
    </cfRule>
    <cfRule type="expression" priority="2381">
      <formula>XEW19&gt;0</formula>
    </cfRule>
    <cfRule type="cellIs" dxfId="1476" priority="2382" operator="greaterThan">
      <formula>0</formula>
    </cfRule>
  </conditionalFormatting>
  <conditionalFormatting sqref="G19:G603 G614:G769">
    <cfRule type="expression" dxfId="1475" priority="2377">
      <formula>XEW19=""</formula>
    </cfRule>
    <cfRule type="expression" priority="2378">
      <formula>XEW19&gt;0</formula>
    </cfRule>
    <cfRule type="cellIs" dxfId="1474" priority="2379" operator="greaterThan">
      <formula>0</formula>
    </cfRule>
  </conditionalFormatting>
  <conditionalFormatting sqref="G19:G603 G614:G769">
    <cfRule type="expression" dxfId="1473" priority="2374">
      <formula>XEW19=""</formula>
    </cfRule>
    <cfRule type="expression" priority="2375">
      <formula>XEW19&gt;0</formula>
    </cfRule>
    <cfRule type="cellIs" dxfId="1472" priority="2376" operator="greaterThan">
      <formula>0</formula>
    </cfRule>
  </conditionalFormatting>
  <conditionalFormatting sqref="G19:G603 G614:G769">
    <cfRule type="expression" dxfId="1471" priority="2371">
      <formula>XEW19=""</formula>
    </cfRule>
    <cfRule type="expression" priority="2372">
      <formula>XEW19&gt;0</formula>
    </cfRule>
    <cfRule type="cellIs" dxfId="1470" priority="2373" operator="greaterThan">
      <formula>0</formula>
    </cfRule>
  </conditionalFormatting>
  <conditionalFormatting sqref="G19:G603 G614:G769">
    <cfRule type="expression" dxfId="1469" priority="2368">
      <formula>XEW19=""</formula>
    </cfRule>
    <cfRule type="expression" priority="2369">
      <formula>XEW19&gt;0</formula>
    </cfRule>
    <cfRule type="cellIs" dxfId="1468" priority="2370" operator="greaterThan">
      <formula>0</formula>
    </cfRule>
  </conditionalFormatting>
  <conditionalFormatting sqref="G19:G603 G614:G769">
    <cfRule type="expression" dxfId="1467" priority="2365">
      <formula>XEW19=""</formula>
    </cfRule>
    <cfRule type="expression" priority="2366">
      <formula>XEW19&gt;0</formula>
    </cfRule>
    <cfRule type="cellIs" dxfId="1466" priority="2367" operator="greaterThan">
      <formula>0</formula>
    </cfRule>
  </conditionalFormatting>
  <conditionalFormatting sqref="G19:G603 G614:G769">
    <cfRule type="expression" dxfId="1465" priority="2362">
      <formula>XEW19=""</formula>
    </cfRule>
    <cfRule type="expression" priority="2363">
      <formula>XEW19&gt;0</formula>
    </cfRule>
    <cfRule type="cellIs" dxfId="1464" priority="2364" operator="greaterThan">
      <formula>0</formula>
    </cfRule>
  </conditionalFormatting>
  <conditionalFormatting sqref="G19:G603 G614:G769">
    <cfRule type="expression" dxfId="1463" priority="2359">
      <formula>XEW19=""</formula>
    </cfRule>
    <cfRule type="expression" priority="2360">
      <formula>XEW19&gt;0</formula>
    </cfRule>
    <cfRule type="cellIs" dxfId="1462" priority="2361" operator="greaterThan">
      <formula>0</formula>
    </cfRule>
  </conditionalFormatting>
  <conditionalFormatting sqref="G19:G603 G614:G769">
    <cfRule type="expression" dxfId="1461" priority="2356">
      <formula>XEW19=""</formula>
    </cfRule>
    <cfRule type="expression" priority="2357">
      <formula>XEW19&gt;0</formula>
    </cfRule>
    <cfRule type="cellIs" dxfId="1460" priority="2358" operator="greaterThan">
      <formula>0</formula>
    </cfRule>
  </conditionalFormatting>
  <conditionalFormatting sqref="G19:G603 G614:G769">
    <cfRule type="expression" dxfId="1459" priority="2353">
      <formula>XEW19=""</formula>
    </cfRule>
    <cfRule type="expression" priority="2354">
      <formula>XEW19&gt;0</formula>
    </cfRule>
    <cfRule type="cellIs" dxfId="1458" priority="2355" operator="greaterThan">
      <formula>0</formula>
    </cfRule>
  </conditionalFormatting>
  <conditionalFormatting sqref="G19:G603 G614:G769">
    <cfRule type="expression" dxfId="1457" priority="2350">
      <formula>XEW19=""</formula>
    </cfRule>
    <cfRule type="expression" priority="2351">
      <formula>XEW19&gt;0</formula>
    </cfRule>
    <cfRule type="cellIs" dxfId="1456" priority="2352" operator="greaterThan">
      <formula>0</formula>
    </cfRule>
  </conditionalFormatting>
  <conditionalFormatting sqref="G19:G603 G614:G769">
    <cfRule type="expression" dxfId="1455" priority="2347">
      <formula>XEW19=""</formula>
    </cfRule>
    <cfRule type="expression" priority="2348">
      <formula>XEW19&gt;0</formula>
    </cfRule>
    <cfRule type="cellIs" dxfId="1454" priority="2349" operator="greaterThan">
      <formula>0</formula>
    </cfRule>
  </conditionalFormatting>
  <conditionalFormatting sqref="G19:G603 G614:G769">
    <cfRule type="expression" dxfId="1453" priority="2344">
      <formula>XEW19=""</formula>
    </cfRule>
    <cfRule type="expression" priority="2345">
      <formula>XEW19&gt;0</formula>
    </cfRule>
    <cfRule type="cellIs" dxfId="1452" priority="2346" operator="greaterThan">
      <formula>0</formula>
    </cfRule>
  </conditionalFormatting>
  <conditionalFormatting sqref="G19:G603 G614:G769">
    <cfRule type="expression" dxfId="1451" priority="2341">
      <formula>XEW19=""</formula>
    </cfRule>
    <cfRule type="expression" priority="2342">
      <formula>XEW19&gt;0</formula>
    </cfRule>
    <cfRule type="cellIs" dxfId="1450" priority="2343" operator="greaterThan">
      <formula>0</formula>
    </cfRule>
  </conditionalFormatting>
  <conditionalFormatting sqref="G19:G603 G614:G769">
    <cfRule type="expression" dxfId="1449" priority="2338">
      <formula>XEW19=""</formula>
    </cfRule>
    <cfRule type="expression" priority="2339">
      <formula>XEW19&gt;0</formula>
    </cfRule>
    <cfRule type="cellIs" dxfId="1448" priority="2340" operator="greaterThan">
      <formula>0</formula>
    </cfRule>
  </conditionalFormatting>
  <conditionalFormatting sqref="G19:G603 G614:G769">
    <cfRule type="expression" dxfId="1447" priority="2335">
      <formula>XEW19=""</formula>
    </cfRule>
    <cfRule type="expression" priority="2336">
      <formula>XEW19&gt;0</formula>
    </cfRule>
    <cfRule type="cellIs" dxfId="1446" priority="2337" operator="greaterThan">
      <formula>0</formula>
    </cfRule>
  </conditionalFormatting>
  <conditionalFormatting sqref="G19:G603 G614:G769">
    <cfRule type="expression" dxfId="1445" priority="2332">
      <formula>XEW19=""</formula>
    </cfRule>
    <cfRule type="expression" priority="2333">
      <formula>XEW19&gt;0</formula>
    </cfRule>
    <cfRule type="cellIs" dxfId="1444" priority="2334" operator="greaterThan">
      <formula>0</formula>
    </cfRule>
  </conditionalFormatting>
  <conditionalFormatting sqref="G19:G603 G614:G769">
    <cfRule type="expression" dxfId="1443" priority="2329">
      <formula>XEW19=""</formula>
    </cfRule>
    <cfRule type="expression" priority="2330">
      <formula>XEW19&gt;0</formula>
    </cfRule>
    <cfRule type="cellIs" dxfId="1442" priority="2331" operator="greaterThan">
      <formula>0</formula>
    </cfRule>
  </conditionalFormatting>
  <conditionalFormatting sqref="G19:G603 G614:G769">
    <cfRule type="expression" dxfId="1441" priority="2326">
      <formula>XEW19=""</formula>
    </cfRule>
    <cfRule type="expression" priority="2327">
      <formula>XEW19&gt;0</formula>
    </cfRule>
    <cfRule type="cellIs" dxfId="1440" priority="2328" operator="greaterThan">
      <formula>0</formula>
    </cfRule>
  </conditionalFormatting>
  <conditionalFormatting sqref="G19:G603 G614:G769">
    <cfRule type="expression" dxfId="1439" priority="2323">
      <formula>XEW19=""</formula>
    </cfRule>
    <cfRule type="expression" priority="2324">
      <formula>XEW19&gt;0</formula>
    </cfRule>
    <cfRule type="cellIs" dxfId="1438" priority="2325" operator="greaterThan">
      <formula>0</formula>
    </cfRule>
  </conditionalFormatting>
  <conditionalFormatting sqref="G19:G603 G614:G769">
    <cfRule type="expression" dxfId="1437" priority="2320">
      <formula>XEW19=""</formula>
    </cfRule>
    <cfRule type="expression" priority="2321">
      <formula>XEW19&gt;0</formula>
    </cfRule>
    <cfRule type="cellIs" dxfId="1436" priority="2322" operator="greaterThan">
      <formula>0</formula>
    </cfRule>
  </conditionalFormatting>
  <conditionalFormatting sqref="H19:H603 H614:H769">
    <cfRule type="expression" dxfId="1435" priority="2317">
      <formula>XEX19=""</formula>
    </cfRule>
    <cfRule type="expression" priority="2318">
      <formula>XEX19&gt;0</formula>
    </cfRule>
    <cfRule type="cellIs" dxfId="1434" priority="2319" operator="greaterThan">
      <formula>0</formula>
    </cfRule>
  </conditionalFormatting>
  <conditionalFormatting sqref="H19:H603 H614:H769">
    <cfRule type="expression" dxfId="1433" priority="2314">
      <formula>XEX19=""</formula>
    </cfRule>
    <cfRule type="expression" priority="2315">
      <formula>XEX19&gt;0</formula>
    </cfRule>
    <cfRule type="cellIs" dxfId="1432" priority="2316" operator="greaterThan">
      <formula>0</formula>
    </cfRule>
  </conditionalFormatting>
  <conditionalFormatting sqref="H19:H603 H614:H769">
    <cfRule type="expression" dxfId="1431" priority="2311">
      <formula>XEX19=""</formula>
    </cfRule>
    <cfRule type="expression" priority="2312">
      <formula>XEX19&gt;0</formula>
    </cfRule>
    <cfRule type="cellIs" dxfId="1430" priority="2313" operator="greaterThan">
      <formula>0</formula>
    </cfRule>
  </conditionalFormatting>
  <conditionalFormatting sqref="H19:H603 H614:H769">
    <cfRule type="expression" dxfId="1429" priority="2308">
      <formula>XEX19=""</formula>
    </cfRule>
    <cfRule type="expression" priority="2309">
      <formula>XEX19&gt;0</formula>
    </cfRule>
    <cfRule type="cellIs" dxfId="1428" priority="2310" operator="greaterThan">
      <formula>0</formula>
    </cfRule>
  </conditionalFormatting>
  <conditionalFormatting sqref="H19:H603 H614:H769">
    <cfRule type="expression" dxfId="1427" priority="2305">
      <formula>XEX19=""</formula>
    </cfRule>
    <cfRule type="expression" priority="2306">
      <formula>XEX19&gt;0</formula>
    </cfRule>
    <cfRule type="cellIs" dxfId="1426" priority="2307" operator="greaterThan">
      <formula>0</formula>
    </cfRule>
  </conditionalFormatting>
  <conditionalFormatting sqref="H19:H603 H614:H769">
    <cfRule type="expression" dxfId="1425" priority="2302">
      <formula>XEX19=""</formula>
    </cfRule>
    <cfRule type="expression" priority="2303">
      <formula>XEX19&gt;0</formula>
    </cfRule>
    <cfRule type="cellIs" dxfId="1424" priority="2304" operator="greaterThan">
      <formula>0</formula>
    </cfRule>
  </conditionalFormatting>
  <conditionalFormatting sqref="H19:H603 H614:H769">
    <cfRule type="expression" dxfId="1423" priority="2299">
      <formula>XEX19=""</formula>
    </cfRule>
    <cfRule type="expression" priority="2300">
      <formula>XEX19&gt;0</formula>
    </cfRule>
    <cfRule type="cellIs" dxfId="1422" priority="2301" operator="greaterThan">
      <formula>0</formula>
    </cfRule>
  </conditionalFormatting>
  <conditionalFormatting sqref="H19:H603 H614:H769">
    <cfRule type="expression" dxfId="1421" priority="2296">
      <formula>XEX19=""</formula>
    </cfRule>
    <cfRule type="expression" priority="2297">
      <formula>XEX19&gt;0</formula>
    </cfRule>
    <cfRule type="cellIs" dxfId="1420" priority="2298" operator="greaterThan">
      <formula>0</formula>
    </cfRule>
  </conditionalFormatting>
  <conditionalFormatting sqref="H19:H603 H614:H769">
    <cfRule type="expression" dxfId="1419" priority="2293">
      <formula>XEX19=""</formula>
    </cfRule>
    <cfRule type="expression" priority="2294">
      <formula>XEX19&gt;0</formula>
    </cfRule>
    <cfRule type="cellIs" dxfId="1418" priority="2295" operator="greaterThan">
      <formula>0</formula>
    </cfRule>
  </conditionalFormatting>
  <conditionalFormatting sqref="H19:H603 H614:H769">
    <cfRule type="expression" dxfId="1417" priority="2290">
      <formula>XEX19=""</formula>
    </cfRule>
    <cfRule type="expression" priority="2291">
      <formula>XEX19&gt;0</formula>
    </cfRule>
    <cfRule type="cellIs" dxfId="1416" priority="2292" operator="greaterThan">
      <formula>0</formula>
    </cfRule>
  </conditionalFormatting>
  <conditionalFormatting sqref="H19:H603 H614:H769">
    <cfRule type="expression" dxfId="1415" priority="2287">
      <formula>XEX19=""</formula>
    </cfRule>
    <cfRule type="expression" priority="2288">
      <formula>XEX19&gt;0</formula>
    </cfRule>
    <cfRule type="cellIs" dxfId="1414" priority="2289" operator="greaterThan">
      <formula>0</formula>
    </cfRule>
  </conditionalFormatting>
  <conditionalFormatting sqref="H19:H603 H614:H769">
    <cfRule type="expression" dxfId="1413" priority="2284">
      <formula>XEX19=""</formula>
    </cfRule>
    <cfRule type="expression" priority="2285">
      <formula>XEX19&gt;0</formula>
    </cfRule>
    <cfRule type="cellIs" dxfId="1412" priority="2286" operator="greaterThan">
      <formula>0</formula>
    </cfRule>
  </conditionalFormatting>
  <conditionalFormatting sqref="H19:H603 H614:H769">
    <cfRule type="expression" dxfId="1411" priority="2281">
      <formula>XEX19=""</formula>
    </cfRule>
    <cfRule type="expression" priority="2282">
      <formula>XEX19&gt;0</formula>
    </cfRule>
    <cfRule type="cellIs" dxfId="1410" priority="2283" operator="greaterThan">
      <formula>0</formula>
    </cfRule>
  </conditionalFormatting>
  <conditionalFormatting sqref="H19:H603 H614:H769">
    <cfRule type="expression" dxfId="1409" priority="2278">
      <formula>XEX19=""</formula>
    </cfRule>
    <cfRule type="expression" priority="2279">
      <formula>XEX19&gt;0</formula>
    </cfRule>
    <cfRule type="cellIs" dxfId="1408" priority="2280" operator="greaterThan">
      <formula>0</formula>
    </cfRule>
  </conditionalFormatting>
  <conditionalFormatting sqref="H19:H603 H614:H769">
    <cfRule type="expression" dxfId="1407" priority="2275">
      <formula>XEX19=""</formula>
    </cfRule>
    <cfRule type="expression" priority="2276">
      <formula>XEX19&gt;0</formula>
    </cfRule>
    <cfRule type="cellIs" dxfId="1406" priority="2277" operator="greaterThan">
      <formula>0</formula>
    </cfRule>
  </conditionalFormatting>
  <conditionalFormatting sqref="H19:H603 H614:H769">
    <cfRule type="expression" dxfId="1405" priority="2272">
      <formula>XEX19=""</formula>
    </cfRule>
    <cfRule type="expression" priority="2273">
      <formula>XEX19&gt;0</formula>
    </cfRule>
    <cfRule type="cellIs" dxfId="1404" priority="2274" operator="greaterThan">
      <formula>0</formula>
    </cfRule>
  </conditionalFormatting>
  <conditionalFormatting sqref="H19:H603 H614:H769">
    <cfRule type="expression" dxfId="1403" priority="2269">
      <formula>XEX19=""</formula>
    </cfRule>
    <cfRule type="expression" priority="2270">
      <formula>XEX19&gt;0</formula>
    </cfRule>
    <cfRule type="cellIs" dxfId="1402" priority="2271" operator="greaterThan">
      <formula>0</formula>
    </cfRule>
  </conditionalFormatting>
  <conditionalFormatting sqref="H19:H603 H614:H769">
    <cfRule type="expression" dxfId="1401" priority="2266">
      <formula>XEX19=""</formula>
    </cfRule>
    <cfRule type="expression" priority="2267">
      <formula>XEX19&gt;0</formula>
    </cfRule>
    <cfRule type="cellIs" dxfId="1400" priority="2268" operator="greaterThan">
      <formula>0</formula>
    </cfRule>
  </conditionalFormatting>
  <conditionalFormatting sqref="H19:H603 H614:H769">
    <cfRule type="expression" dxfId="1399" priority="2263">
      <formula>XEX19=""</formula>
    </cfRule>
    <cfRule type="expression" priority="2264">
      <formula>XEX19&gt;0</formula>
    </cfRule>
    <cfRule type="cellIs" dxfId="1398" priority="2265" operator="greaterThan">
      <formula>0</formula>
    </cfRule>
  </conditionalFormatting>
  <conditionalFormatting sqref="H19:H603 H614:H769">
    <cfRule type="expression" dxfId="1397" priority="2260">
      <formula>XEX19=""</formula>
    </cfRule>
    <cfRule type="expression" priority="2261">
      <formula>XEX19&gt;0</formula>
    </cfRule>
    <cfRule type="cellIs" dxfId="1396" priority="2262" operator="greaterThan">
      <formula>0</formula>
    </cfRule>
  </conditionalFormatting>
  <conditionalFormatting sqref="H19:H603 H614:H769">
    <cfRule type="expression" dxfId="1395" priority="2257">
      <formula>XEX19=""</formula>
    </cfRule>
    <cfRule type="expression" priority="2258">
      <formula>XEX19&gt;0</formula>
    </cfRule>
    <cfRule type="cellIs" dxfId="1394" priority="2259" operator="greaterThan">
      <formula>0</formula>
    </cfRule>
  </conditionalFormatting>
  <conditionalFormatting sqref="H19:H603 H614:H769">
    <cfRule type="expression" dxfId="1393" priority="2254">
      <formula>XEX19=""</formula>
    </cfRule>
    <cfRule type="expression" priority="2255">
      <formula>XEX19&gt;0</formula>
    </cfRule>
    <cfRule type="cellIs" dxfId="1392" priority="2256" operator="greaterThan">
      <formula>0</formula>
    </cfRule>
  </conditionalFormatting>
  <conditionalFormatting sqref="H19:H603 H614:H769">
    <cfRule type="expression" dxfId="1391" priority="2251">
      <formula>XEX19=""</formula>
    </cfRule>
    <cfRule type="expression" priority="2252">
      <formula>XEX19&gt;0</formula>
    </cfRule>
    <cfRule type="cellIs" dxfId="1390" priority="2253" operator="greaterThan">
      <formula>0</formula>
    </cfRule>
  </conditionalFormatting>
  <conditionalFormatting sqref="H19:H603 H614:H769">
    <cfRule type="expression" dxfId="1389" priority="2248">
      <formula>XEX19=""</formula>
    </cfRule>
    <cfRule type="expression" priority="2249">
      <formula>XEX19&gt;0</formula>
    </cfRule>
    <cfRule type="cellIs" dxfId="1388" priority="2250" operator="greaterThan">
      <formula>0</formula>
    </cfRule>
  </conditionalFormatting>
  <conditionalFormatting sqref="H19:H603 H614:H769">
    <cfRule type="expression" dxfId="1387" priority="2245">
      <formula>XEX19=""</formula>
    </cfRule>
    <cfRule type="expression" priority="2246">
      <formula>XEX19&gt;0</formula>
    </cfRule>
    <cfRule type="cellIs" dxfId="1386" priority="2247" operator="greaterThan">
      <formula>0</formula>
    </cfRule>
  </conditionalFormatting>
  <conditionalFormatting sqref="H19:H603 H614:H769">
    <cfRule type="expression" dxfId="1385" priority="2242">
      <formula>XEX19=""</formula>
    </cfRule>
    <cfRule type="expression" priority="2243">
      <formula>XEX19&gt;0</formula>
    </cfRule>
    <cfRule type="cellIs" dxfId="1384" priority="2244" operator="greaterThan">
      <formula>0</formula>
    </cfRule>
  </conditionalFormatting>
  <conditionalFormatting sqref="H19:H603 H614:H769">
    <cfRule type="expression" dxfId="1383" priority="2239">
      <formula>XEX19=""</formula>
    </cfRule>
    <cfRule type="expression" priority="2240">
      <formula>XEX19&gt;0</formula>
    </cfRule>
    <cfRule type="cellIs" dxfId="1382" priority="2241" operator="greaterThan">
      <formula>0</formula>
    </cfRule>
  </conditionalFormatting>
  <conditionalFormatting sqref="H19:H603 H614:H769">
    <cfRule type="expression" dxfId="1381" priority="2236">
      <formula>XEX19=""</formula>
    </cfRule>
    <cfRule type="expression" priority="2237">
      <formula>XEX19&gt;0</formula>
    </cfRule>
    <cfRule type="cellIs" dxfId="1380" priority="2238" operator="greaterThan">
      <formula>0</formula>
    </cfRule>
  </conditionalFormatting>
  <conditionalFormatting sqref="H19:H603 H614:H769">
    <cfRule type="expression" dxfId="1379" priority="2233">
      <formula>XEX19=""</formula>
    </cfRule>
    <cfRule type="expression" priority="2234">
      <formula>XEX19&gt;0</formula>
    </cfRule>
    <cfRule type="cellIs" dxfId="1378" priority="2235" operator="greaterThan">
      <formula>0</formula>
    </cfRule>
  </conditionalFormatting>
  <conditionalFormatting sqref="H19:H603 H614:H769">
    <cfRule type="expression" dxfId="1377" priority="2230">
      <formula>XEX19=""</formula>
    </cfRule>
    <cfRule type="expression" priority="2231">
      <formula>XEX19&gt;0</formula>
    </cfRule>
    <cfRule type="cellIs" dxfId="1376" priority="2232" operator="greaterThan">
      <formula>0</formula>
    </cfRule>
  </conditionalFormatting>
  <conditionalFormatting sqref="H19:H603 H614:H769">
    <cfRule type="expression" dxfId="1375" priority="2227">
      <formula>XEX19=""</formula>
    </cfRule>
    <cfRule type="expression" priority="2228">
      <formula>XEX19&gt;0</formula>
    </cfRule>
    <cfRule type="cellIs" dxfId="1374" priority="2229" operator="greaterThan">
      <formula>0</formula>
    </cfRule>
  </conditionalFormatting>
  <conditionalFormatting sqref="H19:H603 H614:H769">
    <cfRule type="expression" dxfId="1373" priority="2224">
      <formula>XEX19=""</formula>
    </cfRule>
    <cfRule type="expression" priority="2225">
      <formula>XEX19&gt;0</formula>
    </cfRule>
    <cfRule type="cellIs" dxfId="1372" priority="2226" operator="greaterThan">
      <formula>0</formula>
    </cfRule>
  </conditionalFormatting>
  <conditionalFormatting sqref="H19:H603 H614:H769">
    <cfRule type="expression" dxfId="1371" priority="2221">
      <formula>XEX19=""</formula>
    </cfRule>
    <cfRule type="expression" priority="2222">
      <formula>XEX19&gt;0</formula>
    </cfRule>
    <cfRule type="cellIs" dxfId="1370" priority="2223" operator="greaterThan">
      <formula>0</formula>
    </cfRule>
  </conditionalFormatting>
  <conditionalFormatting sqref="H19:H603 H614:H769">
    <cfRule type="expression" dxfId="1369" priority="2218">
      <formula>XEX19=""</formula>
    </cfRule>
    <cfRule type="expression" priority="2219">
      <formula>XEX19&gt;0</formula>
    </cfRule>
    <cfRule type="cellIs" dxfId="1368" priority="2220" operator="greaterThan">
      <formula>0</formula>
    </cfRule>
  </conditionalFormatting>
  <conditionalFormatting sqref="H19:H603 H614:H769">
    <cfRule type="expression" dxfId="1367" priority="2215">
      <formula>XEX19=""</formula>
    </cfRule>
    <cfRule type="expression" priority="2216">
      <formula>XEX19&gt;0</formula>
    </cfRule>
    <cfRule type="cellIs" dxfId="1366" priority="2217" operator="greaterThan">
      <formula>0</formula>
    </cfRule>
  </conditionalFormatting>
  <conditionalFormatting sqref="H19:H603 H614:H769">
    <cfRule type="expression" dxfId="1365" priority="2212">
      <formula>XEX19=""</formula>
    </cfRule>
    <cfRule type="expression" priority="2213">
      <formula>XEX19&gt;0</formula>
    </cfRule>
    <cfRule type="cellIs" dxfId="1364" priority="2214" operator="greaterThan">
      <formula>0</formula>
    </cfRule>
  </conditionalFormatting>
  <conditionalFormatting sqref="H19:H603 H614:H769">
    <cfRule type="expression" dxfId="1363" priority="2209">
      <formula>XEX19=""</formula>
    </cfRule>
    <cfRule type="expression" priority="2210">
      <formula>XEX19&gt;0</formula>
    </cfRule>
    <cfRule type="cellIs" dxfId="1362" priority="2211" operator="greaterThan">
      <formula>0</formula>
    </cfRule>
  </conditionalFormatting>
  <conditionalFormatting sqref="H19:H603 H614:H769">
    <cfRule type="expression" dxfId="1361" priority="2206">
      <formula>XEX19=""</formula>
    </cfRule>
    <cfRule type="expression" priority="2207">
      <formula>XEX19&gt;0</formula>
    </cfRule>
    <cfRule type="cellIs" dxfId="1360" priority="2208" operator="greaterThan">
      <formula>0</formula>
    </cfRule>
  </conditionalFormatting>
  <conditionalFormatting sqref="H19:H603 H614:H769">
    <cfRule type="expression" dxfId="1359" priority="2203">
      <formula>XEX19=""</formula>
    </cfRule>
    <cfRule type="expression" priority="2204">
      <formula>XEX19&gt;0</formula>
    </cfRule>
    <cfRule type="cellIs" dxfId="1358" priority="2205" operator="greaterThan">
      <formula>0</formula>
    </cfRule>
  </conditionalFormatting>
  <conditionalFormatting sqref="H19:H603 H614:H769">
    <cfRule type="expression" dxfId="1357" priority="2200">
      <formula>XEX19=""</formula>
    </cfRule>
    <cfRule type="expression" priority="2201">
      <formula>XEX19&gt;0</formula>
    </cfRule>
    <cfRule type="cellIs" dxfId="1356" priority="2202" operator="greaterThan">
      <formula>0</formula>
    </cfRule>
  </conditionalFormatting>
  <conditionalFormatting sqref="H19:H603 H614:H769">
    <cfRule type="expression" dxfId="1355" priority="2197">
      <formula>XEX19=""</formula>
    </cfRule>
    <cfRule type="expression" priority="2198">
      <formula>XEX19&gt;0</formula>
    </cfRule>
    <cfRule type="cellIs" dxfId="1354" priority="2199" operator="greaterThan">
      <formula>0</formula>
    </cfRule>
  </conditionalFormatting>
  <conditionalFormatting sqref="H19:H603 H614:H769">
    <cfRule type="expression" dxfId="1353" priority="2194">
      <formula>XEX19=""</formula>
    </cfRule>
    <cfRule type="expression" priority="2195">
      <formula>XEX19&gt;0</formula>
    </cfRule>
    <cfRule type="cellIs" dxfId="1352" priority="2196" operator="greaterThan">
      <formula>0</formula>
    </cfRule>
  </conditionalFormatting>
  <conditionalFormatting sqref="H19:H603 H614:H769">
    <cfRule type="expression" dxfId="1351" priority="2191">
      <formula>XEX19=""</formula>
    </cfRule>
    <cfRule type="expression" priority="2192">
      <formula>XEX19&gt;0</formula>
    </cfRule>
    <cfRule type="cellIs" dxfId="1350" priority="2193" operator="greaterThan">
      <formula>0</formula>
    </cfRule>
  </conditionalFormatting>
  <conditionalFormatting sqref="H19:H603 H614:H769">
    <cfRule type="expression" dxfId="1349" priority="2188">
      <formula>XEX19=""</formula>
    </cfRule>
    <cfRule type="expression" priority="2189">
      <formula>XEX19&gt;0</formula>
    </cfRule>
    <cfRule type="cellIs" dxfId="1348" priority="2190" operator="greaterThan">
      <formula>0</formula>
    </cfRule>
  </conditionalFormatting>
  <conditionalFormatting sqref="H19:H603 H614:H769">
    <cfRule type="expression" dxfId="1347" priority="2185">
      <formula>XEX19=""</formula>
    </cfRule>
    <cfRule type="expression" priority="2186">
      <formula>XEX19&gt;0</formula>
    </cfRule>
    <cfRule type="cellIs" dxfId="1346" priority="2187" operator="greaterThan">
      <formula>0</formula>
    </cfRule>
  </conditionalFormatting>
  <conditionalFormatting sqref="H19:H603 H614:H769">
    <cfRule type="expression" dxfId="1345" priority="2182">
      <formula>XEX19=""</formula>
    </cfRule>
    <cfRule type="expression" priority="2183">
      <formula>XEX19&gt;0</formula>
    </cfRule>
    <cfRule type="cellIs" dxfId="1344" priority="2184" operator="greaterThan">
      <formula>0</formula>
    </cfRule>
  </conditionalFormatting>
  <conditionalFormatting sqref="H19:H603 H614:H769">
    <cfRule type="expression" dxfId="1343" priority="2179">
      <formula>XEX19=""</formula>
    </cfRule>
    <cfRule type="expression" priority="2180">
      <formula>XEX19&gt;0</formula>
    </cfRule>
    <cfRule type="cellIs" dxfId="1342" priority="2181" operator="greaterThan">
      <formula>0</formula>
    </cfRule>
  </conditionalFormatting>
  <conditionalFormatting sqref="H19:H603 H614:H769">
    <cfRule type="expression" dxfId="1341" priority="2176">
      <formula>XEX19=""</formula>
    </cfRule>
    <cfRule type="expression" priority="2177">
      <formula>XEX19&gt;0</formula>
    </cfRule>
    <cfRule type="cellIs" dxfId="1340" priority="2178" operator="greaterThan">
      <formula>0</formula>
    </cfRule>
  </conditionalFormatting>
  <conditionalFormatting sqref="H19:H603 H614:H769">
    <cfRule type="expression" dxfId="1339" priority="2173">
      <formula>XEX19=""</formula>
    </cfRule>
    <cfRule type="expression" priority="2174">
      <formula>XEX19&gt;0</formula>
    </cfRule>
    <cfRule type="cellIs" dxfId="1338" priority="2175" operator="greaterThan">
      <formula>0</formula>
    </cfRule>
  </conditionalFormatting>
  <conditionalFormatting sqref="H19:H603 H614:H769">
    <cfRule type="expression" dxfId="1337" priority="2170">
      <formula>XEX19=""</formula>
    </cfRule>
    <cfRule type="expression" priority="2171">
      <formula>XEX19&gt;0</formula>
    </cfRule>
    <cfRule type="cellIs" dxfId="1336" priority="2172" operator="greaterThan">
      <formula>0</formula>
    </cfRule>
  </conditionalFormatting>
  <conditionalFormatting sqref="H19:H603 H614:H769">
    <cfRule type="expression" dxfId="1335" priority="2167">
      <formula>XEX19=""</formula>
    </cfRule>
    <cfRule type="expression" priority="2168">
      <formula>XEX19&gt;0</formula>
    </cfRule>
    <cfRule type="cellIs" dxfId="1334" priority="2169" operator="greaterThan">
      <formula>0</formula>
    </cfRule>
  </conditionalFormatting>
  <conditionalFormatting sqref="H19:H603 H614:H769">
    <cfRule type="expression" dxfId="1333" priority="2164">
      <formula>XEX19=""</formula>
    </cfRule>
    <cfRule type="expression" priority="2165">
      <formula>XEX19&gt;0</formula>
    </cfRule>
    <cfRule type="cellIs" dxfId="1332" priority="2166" operator="greaterThan">
      <formula>0</formula>
    </cfRule>
  </conditionalFormatting>
  <conditionalFormatting sqref="H19:H603 H614:H769">
    <cfRule type="expression" dxfId="1331" priority="2161">
      <formula>XEX19=""</formula>
    </cfRule>
    <cfRule type="expression" priority="2162">
      <formula>XEX19&gt;0</formula>
    </cfRule>
    <cfRule type="cellIs" dxfId="1330" priority="2163" operator="greaterThan">
      <formula>0</formula>
    </cfRule>
  </conditionalFormatting>
  <conditionalFormatting sqref="H19:H603 H614:H769">
    <cfRule type="expression" dxfId="1329" priority="2158">
      <formula>XEX19=""</formula>
    </cfRule>
    <cfRule type="expression" priority="2159">
      <formula>XEX19&gt;0</formula>
    </cfRule>
    <cfRule type="cellIs" dxfId="1328" priority="2160" operator="greaterThan">
      <formula>0</formula>
    </cfRule>
  </conditionalFormatting>
  <conditionalFormatting sqref="H19:H603 H614:H769">
    <cfRule type="expression" dxfId="1327" priority="2155">
      <formula>XEX19=""</formula>
    </cfRule>
    <cfRule type="expression" priority="2156">
      <formula>XEX19&gt;0</formula>
    </cfRule>
    <cfRule type="cellIs" dxfId="1326" priority="2157" operator="greaterThan">
      <formula>0</formula>
    </cfRule>
  </conditionalFormatting>
  <conditionalFormatting sqref="I19:I603 I614:I769">
    <cfRule type="expression" dxfId="1325" priority="2152">
      <formula>XEY19=""</formula>
    </cfRule>
    <cfRule type="expression" priority="2153">
      <formula>XEY19&gt;0</formula>
    </cfRule>
    <cfRule type="cellIs" dxfId="1324" priority="2154" operator="greaterThan">
      <formula>0</formula>
    </cfRule>
  </conditionalFormatting>
  <conditionalFormatting sqref="I19:I603 I614:I769">
    <cfRule type="expression" dxfId="1323" priority="2149">
      <formula>XEY19=""</formula>
    </cfRule>
    <cfRule type="expression" priority="2150">
      <formula>XEY19&gt;0</formula>
    </cfRule>
    <cfRule type="cellIs" dxfId="1322" priority="2151" operator="greaterThan">
      <formula>0</formula>
    </cfRule>
  </conditionalFormatting>
  <conditionalFormatting sqref="I19:I603 I614:I769">
    <cfRule type="expression" dxfId="1321" priority="2146">
      <formula>XEY19=""</formula>
    </cfRule>
    <cfRule type="expression" priority="2147">
      <formula>XEY19&gt;0</formula>
    </cfRule>
    <cfRule type="cellIs" dxfId="1320" priority="2148" operator="greaterThan">
      <formula>0</formula>
    </cfRule>
  </conditionalFormatting>
  <conditionalFormatting sqref="I19:I603 I614:I769">
    <cfRule type="expression" dxfId="1319" priority="2143">
      <formula>XEY19=""</formula>
    </cfRule>
    <cfRule type="expression" priority="2144">
      <formula>XEY19&gt;0</formula>
    </cfRule>
    <cfRule type="cellIs" dxfId="1318" priority="2145" operator="greaterThan">
      <formula>0</formula>
    </cfRule>
  </conditionalFormatting>
  <conditionalFormatting sqref="I19:I603 I614:I769">
    <cfRule type="expression" dxfId="1317" priority="2140">
      <formula>XEY19=""</formula>
    </cfRule>
    <cfRule type="expression" priority="2141">
      <formula>XEY19&gt;0</formula>
    </cfRule>
    <cfRule type="cellIs" dxfId="1316" priority="2142" operator="greaterThan">
      <formula>0</formula>
    </cfRule>
  </conditionalFormatting>
  <conditionalFormatting sqref="I19:I603 I614:I769">
    <cfRule type="expression" dxfId="1315" priority="2137">
      <formula>XEY19=""</formula>
    </cfRule>
    <cfRule type="expression" priority="2138">
      <formula>XEY19&gt;0</formula>
    </cfRule>
    <cfRule type="cellIs" dxfId="1314" priority="2139" operator="greaterThan">
      <formula>0</formula>
    </cfRule>
  </conditionalFormatting>
  <conditionalFormatting sqref="I19:I603 I614:I769">
    <cfRule type="expression" dxfId="1313" priority="2134">
      <formula>XEY19=""</formula>
    </cfRule>
    <cfRule type="expression" priority="2135">
      <formula>XEY19&gt;0</formula>
    </cfRule>
    <cfRule type="cellIs" dxfId="1312" priority="2136" operator="greaterThan">
      <formula>0</formula>
    </cfRule>
  </conditionalFormatting>
  <conditionalFormatting sqref="I19:I603 I614:I769">
    <cfRule type="expression" dxfId="1311" priority="2131">
      <formula>XEY19=""</formula>
    </cfRule>
    <cfRule type="expression" priority="2132">
      <formula>XEY19&gt;0</formula>
    </cfRule>
    <cfRule type="cellIs" dxfId="1310" priority="2133" operator="greaterThan">
      <formula>0</formula>
    </cfRule>
  </conditionalFormatting>
  <conditionalFormatting sqref="I19:I603 I614:I769">
    <cfRule type="expression" dxfId="1309" priority="2128">
      <formula>XEY19=""</formula>
    </cfRule>
    <cfRule type="expression" priority="2129">
      <formula>XEY19&gt;0</formula>
    </cfRule>
    <cfRule type="cellIs" dxfId="1308" priority="2130" operator="greaterThan">
      <formula>0</formula>
    </cfRule>
  </conditionalFormatting>
  <conditionalFormatting sqref="I19:I603 I614:I769">
    <cfRule type="expression" dxfId="1307" priority="2125">
      <formula>XEY19=""</formula>
    </cfRule>
    <cfRule type="expression" priority="2126">
      <formula>XEY19&gt;0</formula>
    </cfRule>
    <cfRule type="cellIs" dxfId="1306" priority="2127" operator="greaterThan">
      <formula>0</formula>
    </cfRule>
  </conditionalFormatting>
  <conditionalFormatting sqref="I19:I603 I614:I769">
    <cfRule type="expression" dxfId="1305" priority="2122">
      <formula>XEY19=""</formula>
    </cfRule>
    <cfRule type="expression" priority="2123">
      <formula>XEY19&gt;0</formula>
    </cfRule>
    <cfRule type="cellIs" dxfId="1304" priority="2124" operator="greaterThan">
      <formula>0</formula>
    </cfRule>
  </conditionalFormatting>
  <conditionalFormatting sqref="I19:I603 I614:I769">
    <cfRule type="expression" dxfId="1303" priority="2119">
      <formula>XEY19=""</formula>
    </cfRule>
    <cfRule type="expression" priority="2120">
      <formula>XEY19&gt;0</formula>
    </cfRule>
    <cfRule type="cellIs" dxfId="1302" priority="2121" operator="greaterThan">
      <formula>0</formula>
    </cfRule>
  </conditionalFormatting>
  <conditionalFormatting sqref="I19:I603 I614:I769">
    <cfRule type="expression" dxfId="1301" priority="2116">
      <formula>XEY19=""</formula>
    </cfRule>
    <cfRule type="expression" priority="2117">
      <formula>XEY19&gt;0</formula>
    </cfRule>
    <cfRule type="cellIs" dxfId="1300" priority="2118" operator="greaterThan">
      <formula>0</formula>
    </cfRule>
  </conditionalFormatting>
  <conditionalFormatting sqref="I19:I603 I614:I769">
    <cfRule type="expression" dxfId="1299" priority="2113">
      <formula>XEY19=""</formula>
    </cfRule>
    <cfRule type="expression" priority="2114">
      <formula>XEY19&gt;0</formula>
    </cfRule>
    <cfRule type="cellIs" dxfId="1298" priority="2115" operator="greaterThan">
      <formula>0</formula>
    </cfRule>
  </conditionalFormatting>
  <conditionalFormatting sqref="I19:I603 I614:I769">
    <cfRule type="expression" dxfId="1297" priority="2110">
      <formula>XEY19=""</formula>
    </cfRule>
    <cfRule type="expression" priority="2111">
      <formula>XEY19&gt;0</formula>
    </cfRule>
    <cfRule type="cellIs" dxfId="1296" priority="2112" operator="greaterThan">
      <formula>0</formula>
    </cfRule>
  </conditionalFormatting>
  <conditionalFormatting sqref="I19:I603 I614:I769">
    <cfRule type="expression" dxfId="1295" priority="2107">
      <formula>XEY19=""</formula>
    </cfRule>
    <cfRule type="expression" priority="2108">
      <formula>XEY19&gt;0</formula>
    </cfRule>
    <cfRule type="cellIs" dxfId="1294" priority="2109" operator="greaterThan">
      <formula>0</formula>
    </cfRule>
  </conditionalFormatting>
  <conditionalFormatting sqref="I19:I603 I614:I769">
    <cfRule type="expression" dxfId="1293" priority="2104">
      <formula>XEY19=""</formula>
    </cfRule>
    <cfRule type="expression" priority="2105">
      <formula>XEY19&gt;0</formula>
    </cfRule>
    <cfRule type="cellIs" dxfId="1292" priority="2106" operator="greaterThan">
      <formula>0</formula>
    </cfRule>
  </conditionalFormatting>
  <conditionalFormatting sqref="I19:I603 I614:I769">
    <cfRule type="expression" dxfId="1291" priority="2101">
      <formula>XEY19=""</formula>
    </cfRule>
    <cfRule type="expression" priority="2102">
      <formula>XEY19&gt;0</formula>
    </cfRule>
    <cfRule type="cellIs" dxfId="1290" priority="2103" operator="greaterThan">
      <formula>0</formula>
    </cfRule>
  </conditionalFormatting>
  <conditionalFormatting sqref="I19:I603 I614:I769">
    <cfRule type="expression" dxfId="1289" priority="2098">
      <formula>XEY19=""</formula>
    </cfRule>
    <cfRule type="expression" priority="2099">
      <formula>XEY19&gt;0</formula>
    </cfRule>
    <cfRule type="cellIs" dxfId="1288" priority="2100" operator="greaterThan">
      <formula>0</formula>
    </cfRule>
  </conditionalFormatting>
  <conditionalFormatting sqref="I19:I603 I614:I769">
    <cfRule type="expression" dxfId="1287" priority="2095">
      <formula>XEY19=""</formula>
    </cfRule>
    <cfRule type="expression" priority="2096">
      <formula>XEY19&gt;0</formula>
    </cfRule>
    <cfRule type="cellIs" dxfId="1286" priority="2097" operator="greaterThan">
      <formula>0</formula>
    </cfRule>
  </conditionalFormatting>
  <conditionalFormatting sqref="I19:I603 I614:I769">
    <cfRule type="expression" dxfId="1285" priority="2092">
      <formula>XEY19=""</formula>
    </cfRule>
    <cfRule type="expression" priority="2093">
      <formula>XEY19&gt;0</formula>
    </cfRule>
    <cfRule type="cellIs" dxfId="1284" priority="2094" operator="greaterThan">
      <formula>0</formula>
    </cfRule>
  </conditionalFormatting>
  <conditionalFormatting sqref="I19:I603 I614:I769">
    <cfRule type="expression" dxfId="1283" priority="2089">
      <formula>XEY19=""</formula>
    </cfRule>
    <cfRule type="expression" priority="2090">
      <formula>XEY19&gt;0</formula>
    </cfRule>
    <cfRule type="cellIs" dxfId="1282" priority="2091" operator="greaterThan">
      <formula>0</formula>
    </cfRule>
  </conditionalFormatting>
  <conditionalFormatting sqref="I19:I603 I614:I769">
    <cfRule type="expression" dxfId="1281" priority="2086">
      <formula>XEY19=""</formula>
    </cfRule>
    <cfRule type="expression" priority="2087">
      <formula>XEY19&gt;0</formula>
    </cfRule>
    <cfRule type="cellIs" dxfId="1280" priority="2088" operator="greaterThan">
      <formula>0</formula>
    </cfRule>
  </conditionalFormatting>
  <conditionalFormatting sqref="I19:I603 I614:I769">
    <cfRule type="expression" dxfId="1279" priority="2083">
      <formula>XEY19=""</formula>
    </cfRule>
    <cfRule type="expression" priority="2084">
      <formula>XEY19&gt;0</formula>
    </cfRule>
    <cfRule type="cellIs" dxfId="1278" priority="2085" operator="greaterThan">
      <formula>0</formula>
    </cfRule>
  </conditionalFormatting>
  <conditionalFormatting sqref="I19:I603 I614:I769">
    <cfRule type="expression" dxfId="1277" priority="2080">
      <formula>XEY19=""</formula>
    </cfRule>
    <cfRule type="expression" priority="2081">
      <formula>XEY19&gt;0</formula>
    </cfRule>
    <cfRule type="cellIs" dxfId="1276" priority="2082" operator="greaterThan">
      <formula>0</formula>
    </cfRule>
  </conditionalFormatting>
  <conditionalFormatting sqref="I19:I603 I614:I769">
    <cfRule type="expression" dxfId="1275" priority="2077">
      <formula>XEY19=""</formula>
    </cfRule>
    <cfRule type="expression" priority="2078">
      <formula>XEY19&gt;0</formula>
    </cfRule>
    <cfRule type="cellIs" dxfId="1274" priority="2079" operator="greaterThan">
      <formula>0</formula>
    </cfRule>
  </conditionalFormatting>
  <conditionalFormatting sqref="I19:I603 I614:I769">
    <cfRule type="expression" dxfId="1273" priority="2074">
      <formula>XEY19=""</formula>
    </cfRule>
    <cfRule type="expression" priority="2075">
      <formula>XEY19&gt;0</formula>
    </cfRule>
    <cfRule type="cellIs" dxfId="1272" priority="2076" operator="greaterThan">
      <formula>0</formula>
    </cfRule>
  </conditionalFormatting>
  <conditionalFormatting sqref="I19:I603 I614:I769">
    <cfRule type="expression" dxfId="1271" priority="2071">
      <formula>XEY19=""</formula>
    </cfRule>
    <cfRule type="expression" priority="2072">
      <formula>XEY19&gt;0</formula>
    </cfRule>
    <cfRule type="cellIs" dxfId="1270" priority="2073" operator="greaterThan">
      <formula>0</formula>
    </cfRule>
  </conditionalFormatting>
  <conditionalFormatting sqref="I19:I603 I614:I769">
    <cfRule type="expression" dxfId="1269" priority="2068">
      <formula>XEY19=""</formula>
    </cfRule>
    <cfRule type="expression" priority="2069">
      <formula>XEY19&gt;0</formula>
    </cfRule>
    <cfRule type="cellIs" dxfId="1268" priority="2070" operator="greaterThan">
      <formula>0</formula>
    </cfRule>
  </conditionalFormatting>
  <conditionalFormatting sqref="I19:I603 I614:I769">
    <cfRule type="expression" dxfId="1267" priority="2065">
      <formula>XEY19=""</formula>
    </cfRule>
    <cfRule type="expression" priority="2066">
      <formula>XEY19&gt;0</formula>
    </cfRule>
    <cfRule type="cellIs" dxfId="1266" priority="2067" operator="greaterThan">
      <formula>0</formula>
    </cfRule>
  </conditionalFormatting>
  <conditionalFormatting sqref="I19:I603 I614:I769">
    <cfRule type="expression" dxfId="1265" priority="2062">
      <formula>XEY19=""</formula>
    </cfRule>
    <cfRule type="expression" priority="2063">
      <formula>XEY19&gt;0</formula>
    </cfRule>
    <cfRule type="cellIs" dxfId="1264" priority="2064" operator="greaterThan">
      <formula>0</formula>
    </cfRule>
  </conditionalFormatting>
  <conditionalFormatting sqref="I19:I603 I614:I769">
    <cfRule type="expression" dxfId="1263" priority="2059">
      <formula>XEY19=""</formula>
    </cfRule>
    <cfRule type="expression" priority="2060">
      <formula>XEY19&gt;0</formula>
    </cfRule>
    <cfRule type="cellIs" dxfId="1262" priority="2061" operator="greaterThan">
      <formula>0</formula>
    </cfRule>
  </conditionalFormatting>
  <conditionalFormatting sqref="I19:I603 I614:I769">
    <cfRule type="expression" dxfId="1261" priority="2056">
      <formula>XEY19=""</formula>
    </cfRule>
    <cfRule type="expression" priority="2057">
      <formula>XEY19&gt;0</formula>
    </cfRule>
    <cfRule type="cellIs" dxfId="1260" priority="2058" operator="greaterThan">
      <formula>0</formula>
    </cfRule>
  </conditionalFormatting>
  <conditionalFormatting sqref="I19:I603 I614:I769">
    <cfRule type="expression" dxfId="1259" priority="2053">
      <formula>XEY19=""</formula>
    </cfRule>
    <cfRule type="expression" priority="2054">
      <formula>XEY19&gt;0</formula>
    </cfRule>
    <cfRule type="cellIs" dxfId="1258" priority="2055" operator="greaterThan">
      <formula>0</formula>
    </cfRule>
  </conditionalFormatting>
  <conditionalFormatting sqref="I19:I603 I614:I769">
    <cfRule type="expression" dxfId="1257" priority="2050">
      <formula>XEY19=""</formula>
    </cfRule>
    <cfRule type="expression" priority="2051">
      <formula>XEY19&gt;0</formula>
    </cfRule>
    <cfRule type="cellIs" dxfId="1256" priority="2052" operator="greaterThan">
      <formula>0</formula>
    </cfRule>
  </conditionalFormatting>
  <conditionalFormatting sqref="I19:I603 I614:I769">
    <cfRule type="expression" dxfId="1255" priority="2047">
      <formula>XEY19=""</formula>
    </cfRule>
    <cfRule type="expression" priority="2048">
      <formula>XEY19&gt;0</formula>
    </cfRule>
    <cfRule type="cellIs" dxfId="1254" priority="2049" operator="greaterThan">
      <formula>0</formula>
    </cfRule>
  </conditionalFormatting>
  <conditionalFormatting sqref="I19:I603 I614:I769">
    <cfRule type="expression" dxfId="1253" priority="2044">
      <formula>XEY19=""</formula>
    </cfRule>
    <cfRule type="expression" priority="2045">
      <formula>XEY19&gt;0</formula>
    </cfRule>
    <cfRule type="cellIs" dxfId="1252" priority="2046" operator="greaterThan">
      <formula>0</formula>
    </cfRule>
  </conditionalFormatting>
  <conditionalFormatting sqref="I19:I603 I614:I769">
    <cfRule type="expression" dxfId="1251" priority="2041">
      <formula>XEY19=""</formula>
    </cfRule>
    <cfRule type="expression" priority="2042">
      <formula>XEY19&gt;0</formula>
    </cfRule>
    <cfRule type="cellIs" dxfId="1250" priority="2043" operator="greaterThan">
      <formula>0</formula>
    </cfRule>
  </conditionalFormatting>
  <conditionalFormatting sqref="I19:I603 I614:I769">
    <cfRule type="expression" dxfId="1249" priority="2038">
      <formula>XEY19=""</formula>
    </cfRule>
    <cfRule type="expression" priority="2039">
      <formula>XEY19&gt;0</formula>
    </cfRule>
    <cfRule type="cellIs" dxfId="1248" priority="2040" operator="greaterThan">
      <formula>0</formula>
    </cfRule>
  </conditionalFormatting>
  <conditionalFormatting sqref="I19:I603 I614:I769">
    <cfRule type="expression" dxfId="1247" priority="2035">
      <formula>XEY19=""</formula>
    </cfRule>
    <cfRule type="expression" priority="2036">
      <formula>XEY19&gt;0</formula>
    </cfRule>
    <cfRule type="cellIs" dxfId="1246" priority="2037" operator="greaterThan">
      <formula>0</formula>
    </cfRule>
  </conditionalFormatting>
  <conditionalFormatting sqref="I19:I603 I614:I769">
    <cfRule type="expression" dxfId="1245" priority="2032">
      <formula>XEY19=""</formula>
    </cfRule>
    <cfRule type="expression" priority="2033">
      <formula>XEY19&gt;0</formula>
    </cfRule>
    <cfRule type="cellIs" dxfId="1244" priority="2034" operator="greaterThan">
      <formula>0</formula>
    </cfRule>
  </conditionalFormatting>
  <conditionalFormatting sqref="I19:I603 I614:I769">
    <cfRule type="expression" dxfId="1243" priority="2029">
      <formula>XEY19=""</formula>
    </cfRule>
    <cfRule type="expression" priority="2030">
      <formula>XEY19&gt;0</formula>
    </cfRule>
    <cfRule type="cellIs" dxfId="1242" priority="2031" operator="greaterThan">
      <formula>0</formula>
    </cfRule>
  </conditionalFormatting>
  <conditionalFormatting sqref="I19:I603 I614:I769">
    <cfRule type="expression" dxfId="1241" priority="2026">
      <formula>XEY19=""</formula>
    </cfRule>
    <cfRule type="expression" priority="2027">
      <formula>XEY19&gt;0</formula>
    </cfRule>
    <cfRule type="cellIs" dxfId="1240" priority="2028" operator="greaterThan">
      <formula>0</formula>
    </cfRule>
  </conditionalFormatting>
  <conditionalFormatting sqref="I19:I603 I614:I769">
    <cfRule type="expression" dxfId="1239" priority="2023">
      <formula>XEY19=""</formula>
    </cfRule>
    <cfRule type="expression" priority="2024">
      <formula>XEY19&gt;0</formula>
    </cfRule>
    <cfRule type="cellIs" dxfId="1238" priority="2025" operator="greaterThan">
      <formula>0</formula>
    </cfRule>
  </conditionalFormatting>
  <conditionalFormatting sqref="I19:I603 I614:I769">
    <cfRule type="expression" dxfId="1237" priority="2020">
      <formula>XEY19=""</formula>
    </cfRule>
    <cfRule type="expression" priority="2021">
      <formula>XEY19&gt;0</formula>
    </cfRule>
    <cfRule type="cellIs" dxfId="1236" priority="2022" operator="greaterThan">
      <formula>0</formula>
    </cfRule>
  </conditionalFormatting>
  <conditionalFormatting sqref="I19:I603 I614:I769">
    <cfRule type="expression" dxfId="1235" priority="2017">
      <formula>XEY19=""</formula>
    </cfRule>
    <cfRule type="expression" priority="2018">
      <formula>XEY19&gt;0</formula>
    </cfRule>
    <cfRule type="cellIs" dxfId="1234" priority="2019" operator="greaterThan">
      <formula>0</formula>
    </cfRule>
  </conditionalFormatting>
  <conditionalFormatting sqref="I19:I603 I614:I769">
    <cfRule type="expression" dxfId="1233" priority="2014">
      <formula>XEY19=""</formula>
    </cfRule>
    <cfRule type="expression" priority="2015">
      <formula>XEY19&gt;0</formula>
    </cfRule>
    <cfRule type="cellIs" dxfId="1232" priority="2016" operator="greaterThan">
      <formula>0</formula>
    </cfRule>
  </conditionalFormatting>
  <conditionalFormatting sqref="I19:I603 I614:I769">
    <cfRule type="expression" dxfId="1231" priority="2011">
      <formula>XEY19=""</formula>
    </cfRule>
    <cfRule type="expression" priority="2012">
      <formula>XEY19&gt;0</formula>
    </cfRule>
    <cfRule type="cellIs" dxfId="1230" priority="2013" operator="greaterThan">
      <formula>0</formula>
    </cfRule>
  </conditionalFormatting>
  <conditionalFormatting sqref="I19:I603 I614:I769">
    <cfRule type="expression" dxfId="1229" priority="2008">
      <formula>XEY19=""</formula>
    </cfRule>
    <cfRule type="expression" priority="2009">
      <formula>XEY19&gt;0</formula>
    </cfRule>
    <cfRule type="cellIs" dxfId="1228" priority="2010" operator="greaterThan">
      <formula>0</formula>
    </cfRule>
  </conditionalFormatting>
  <conditionalFormatting sqref="I19:I603 I614:I769">
    <cfRule type="expression" dxfId="1227" priority="2005">
      <formula>XEY19=""</formula>
    </cfRule>
    <cfRule type="expression" priority="2006">
      <formula>XEY19&gt;0</formula>
    </cfRule>
    <cfRule type="cellIs" dxfId="1226" priority="2007" operator="greaterThan">
      <formula>0</formula>
    </cfRule>
  </conditionalFormatting>
  <conditionalFormatting sqref="I19:I603 I614:I769">
    <cfRule type="expression" dxfId="1225" priority="2002">
      <formula>XEY19=""</formula>
    </cfRule>
    <cfRule type="expression" priority="2003">
      <formula>XEY19&gt;0</formula>
    </cfRule>
    <cfRule type="cellIs" dxfId="1224" priority="2004" operator="greaterThan">
      <formula>0</formula>
    </cfRule>
  </conditionalFormatting>
  <conditionalFormatting sqref="I19:I603 I614:I769">
    <cfRule type="expression" dxfId="1223" priority="1999">
      <formula>XEY19=""</formula>
    </cfRule>
    <cfRule type="expression" priority="2000">
      <formula>XEY19&gt;0</formula>
    </cfRule>
    <cfRule type="cellIs" dxfId="1222" priority="2001" operator="greaterThan">
      <formula>0</formula>
    </cfRule>
  </conditionalFormatting>
  <conditionalFormatting sqref="I19:I603 I614:I769">
    <cfRule type="expression" dxfId="1221" priority="1996">
      <formula>XEY19=""</formula>
    </cfRule>
    <cfRule type="expression" priority="1997">
      <formula>XEY19&gt;0</formula>
    </cfRule>
    <cfRule type="cellIs" dxfId="1220" priority="1998" operator="greaterThan">
      <formula>0</formula>
    </cfRule>
  </conditionalFormatting>
  <conditionalFormatting sqref="I19:I603 I614:I769">
    <cfRule type="expression" dxfId="1219" priority="1993">
      <formula>XEY19=""</formula>
    </cfRule>
    <cfRule type="expression" priority="1994">
      <formula>XEY19&gt;0</formula>
    </cfRule>
    <cfRule type="cellIs" dxfId="1218" priority="1995" operator="greaterThan">
      <formula>0</formula>
    </cfRule>
  </conditionalFormatting>
  <conditionalFormatting sqref="I19:I603 I614:I769">
    <cfRule type="expression" dxfId="1217" priority="1990">
      <formula>XEY19=""</formula>
    </cfRule>
    <cfRule type="expression" priority="1991">
      <formula>XEY19&gt;0</formula>
    </cfRule>
    <cfRule type="cellIs" dxfId="1216" priority="1992" operator="greaterThan">
      <formula>0</formula>
    </cfRule>
  </conditionalFormatting>
  <conditionalFormatting sqref="J614:J769 J19:J603">
    <cfRule type="expression" dxfId="1215" priority="1987">
      <formula>XEZ19=""</formula>
    </cfRule>
    <cfRule type="expression" priority="1988">
      <formula>XEZ19&gt;0</formula>
    </cfRule>
    <cfRule type="cellIs" dxfId="1214" priority="1989" operator="greaterThan">
      <formula>0</formula>
    </cfRule>
  </conditionalFormatting>
  <conditionalFormatting sqref="J614:J769 J19:J603">
    <cfRule type="expression" dxfId="1213" priority="1984">
      <formula>XEZ19=""</formula>
    </cfRule>
    <cfRule type="expression" priority="1985">
      <formula>XEZ19&gt;0</formula>
    </cfRule>
    <cfRule type="cellIs" dxfId="1212" priority="1986" operator="greaterThan">
      <formula>0</formula>
    </cfRule>
  </conditionalFormatting>
  <conditionalFormatting sqref="J614:J769 J19:J603">
    <cfRule type="expression" dxfId="1211" priority="1981">
      <formula>XEZ19=""</formula>
    </cfRule>
    <cfRule type="expression" priority="1982">
      <formula>XEZ19&gt;0</formula>
    </cfRule>
    <cfRule type="cellIs" dxfId="1210" priority="1983" operator="greaterThan">
      <formula>0</formula>
    </cfRule>
  </conditionalFormatting>
  <conditionalFormatting sqref="J614:J769 J19:J603">
    <cfRule type="expression" dxfId="1209" priority="1978">
      <formula>XEZ19=""</formula>
    </cfRule>
    <cfRule type="expression" priority="1979">
      <formula>XEZ19&gt;0</formula>
    </cfRule>
    <cfRule type="cellIs" dxfId="1208" priority="1980" operator="greaterThan">
      <formula>0</formula>
    </cfRule>
  </conditionalFormatting>
  <conditionalFormatting sqref="J614:J769 J19:J603">
    <cfRule type="expression" dxfId="1207" priority="1975">
      <formula>XEZ19=""</formula>
    </cfRule>
    <cfRule type="expression" priority="1976">
      <formula>XEZ19&gt;0</formula>
    </cfRule>
    <cfRule type="cellIs" dxfId="1206" priority="1977" operator="greaterThan">
      <formula>0</formula>
    </cfRule>
  </conditionalFormatting>
  <conditionalFormatting sqref="J614:J769 J19:J603">
    <cfRule type="expression" dxfId="1205" priority="1972">
      <formula>XEZ19=""</formula>
    </cfRule>
    <cfRule type="expression" priority="1973">
      <formula>XEZ19&gt;0</formula>
    </cfRule>
    <cfRule type="cellIs" dxfId="1204" priority="1974" operator="greaterThan">
      <formula>0</formula>
    </cfRule>
  </conditionalFormatting>
  <conditionalFormatting sqref="J614:J769 J19:J603">
    <cfRule type="expression" dxfId="1203" priority="1969">
      <formula>XEZ19=""</formula>
    </cfRule>
    <cfRule type="expression" priority="1970">
      <formula>XEZ19&gt;0</formula>
    </cfRule>
    <cfRule type="cellIs" dxfId="1202" priority="1971" operator="greaterThan">
      <formula>0</formula>
    </cfRule>
  </conditionalFormatting>
  <conditionalFormatting sqref="J614:J769 J19:J603">
    <cfRule type="expression" dxfId="1201" priority="1966">
      <formula>XEZ19=""</formula>
    </cfRule>
    <cfRule type="expression" priority="1967">
      <formula>XEZ19&gt;0</formula>
    </cfRule>
    <cfRule type="cellIs" dxfId="1200" priority="1968" operator="greaterThan">
      <formula>0</formula>
    </cfRule>
  </conditionalFormatting>
  <conditionalFormatting sqref="J614:J769 J19:J603">
    <cfRule type="expression" dxfId="1199" priority="1963">
      <formula>XEZ19=""</formula>
    </cfRule>
    <cfRule type="expression" priority="1964">
      <formula>XEZ19&gt;0</formula>
    </cfRule>
    <cfRule type="cellIs" dxfId="1198" priority="1965" operator="greaterThan">
      <formula>0</formula>
    </cfRule>
  </conditionalFormatting>
  <conditionalFormatting sqref="J614:J769 J19:J603">
    <cfRule type="expression" dxfId="1197" priority="1960">
      <formula>XEZ19=""</formula>
    </cfRule>
    <cfRule type="expression" priority="1961">
      <formula>XEZ19&gt;0</formula>
    </cfRule>
    <cfRule type="cellIs" dxfId="1196" priority="1962" operator="greaterThan">
      <formula>0</formula>
    </cfRule>
  </conditionalFormatting>
  <conditionalFormatting sqref="J614:J769 J19:J603">
    <cfRule type="expression" dxfId="1195" priority="1957">
      <formula>XEZ19=""</formula>
    </cfRule>
    <cfRule type="expression" priority="1958">
      <formula>XEZ19&gt;0</formula>
    </cfRule>
    <cfRule type="cellIs" dxfId="1194" priority="1959" operator="greaterThan">
      <formula>0</formula>
    </cfRule>
  </conditionalFormatting>
  <conditionalFormatting sqref="J614:J769 J19:J603">
    <cfRule type="expression" dxfId="1193" priority="1954">
      <formula>XEZ19=""</formula>
    </cfRule>
    <cfRule type="expression" priority="1955">
      <formula>XEZ19&gt;0</formula>
    </cfRule>
    <cfRule type="cellIs" dxfId="1192" priority="1956" operator="greaterThan">
      <formula>0</formula>
    </cfRule>
  </conditionalFormatting>
  <conditionalFormatting sqref="J614:J769 J19:J603">
    <cfRule type="expression" dxfId="1191" priority="1951">
      <formula>XEZ19=""</formula>
    </cfRule>
    <cfRule type="expression" priority="1952">
      <formula>XEZ19&gt;0</formula>
    </cfRule>
    <cfRule type="cellIs" dxfId="1190" priority="1953" operator="greaterThan">
      <formula>0</formula>
    </cfRule>
  </conditionalFormatting>
  <conditionalFormatting sqref="J614:J769 J19:J603">
    <cfRule type="expression" dxfId="1189" priority="1948">
      <formula>XEZ19=""</formula>
    </cfRule>
    <cfRule type="expression" priority="1949">
      <formula>XEZ19&gt;0</formula>
    </cfRule>
    <cfRule type="cellIs" dxfId="1188" priority="1950" operator="greaterThan">
      <formula>0</formula>
    </cfRule>
  </conditionalFormatting>
  <conditionalFormatting sqref="J614:J769 J19:J603">
    <cfRule type="expression" dxfId="1187" priority="1945">
      <formula>XEZ19=""</formula>
    </cfRule>
    <cfRule type="expression" priority="1946">
      <formula>XEZ19&gt;0</formula>
    </cfRule>
    <cfRule type="cellIs" dxfId="1186" priority="1947" operator="greaterThan">
      <formula>0</formula>
    </cfRule>
  </conditionalFormatting>
  <conditionalFormatting sqref="J614:J769 J19:J603">
    <cfRule type="expression" dxfId="1185" priority="1942">
      <formula>XEZ19=""</formula>
    </cfRule>
    <cfRule type="expression" priority="1943">
      <formula>XEZ19&gt;0</formula>
    </cfRule>
    <cfRule type="cellIs" dxfId="1184" priority="1944" operator="greaterThan">
      <formula>0</formula>
    </cfRule>
  </conditionalFormatting>
  <conditionalFormatting sqref="J614:J769 J19:J603">
    <cfRule type="expression" dxfId="1183" priority="1939">
      <formula>XEZ19=""</formula>
    </cfRule>
    <cfRule type="expression" priority="1940">
      <formula>XEZ19&gt;0</formula>
    </cfRule>
    <cfRule type="cellIs" dxfId="1182" priority="1941" operator="greaterThan">
      <formula>0</formula>
    </cfRule>
  </conditionalFormatting>
  <conditionalFormatting sqref="J614:J769 J19:J603">
    <cfRule type="expression" dxfId="1181" priority="1936">
      <formula>XEZ19=""</formula>
    </cfRule>
    <cfRule type="expression" priority="1937">
      <formula>XEZ19&gt;0</formula>
    </cfRule>
    <cfRule type="cellIs" dxfId="1180" priority="1938" operator="greaterThan">
      <formula>0</formula>
    </cfRule>
  </conditionalFormatting>
  <conditionalFormatting sqref="J614:J769 J19:J603">
    <cfRule type="expression" dxfId="1179" priority="1933">
      <formula>XEZ19=""</formula>
    </cfRule>
    <cfRule type="expression" priority="1934">
      <formula>XEZ19&gt;0</formula>
    </cfRule>
    <cfRule type="cellIs" dxfId="1178" priority="1935" operator="greaterThan">
      <formula>0</formula>
    </cfRule>
  </conditionalFormatting>
  <conditionalFormatting sqref="J614:J769 J19:J603">
    <cfRule type="expression" dxfId="1177" priority="1930">
      <formula>XEZ19=""</formula>
    </cfRule>
    <cfRule type="expression" priority="1931">
      <formula>XEZ19&gt;0</formula>
    </cfRule>
    <cfRule type="cellIs" dxfId="1176" priority="1932" operator="greaterThan">
      <formula>0</formula>
    </cfRule>
  </conditionalFormatting>
  <conditionalFormatting sqref="J614:J769 J19:J603">
    <cfRule type="expression" dxfId="1175" priority="1927">
      <formula>XEZ19=""</formula>
    </cfRule>
    <cfRule type="expression" priority="1928">
      <formula>XEZ19&gt;0</formula>
    </cfRule>
    <cfRule type="cellIs" dxfId="1174" priority="1929" operator="greaterThan">
      <formula>0</formula>
    </cfRule>
  </conditionalFormatting>
  <conditionalFormatting sqref="J614:J769 J19:J603">
    <cfRule type="expression" dxfId="1173" priority="1924">
      <formula>XEZ19=""</formula>
    </cfRule>
    <cfRule type="expression" priority="1925">
      <formula>XEZ19&gt;0</formula>
    </cfRule>
    <cfRule type="cellIs" dxfId="1172" priority="1926" operator="greaterThan">
      <formula>0</formula>
    </cfRule>
  </conditionalFormatting>
  <conditionalFormatting sqref="J614:J769 J19:J603">
    <cfRule type="expression" dxfId="1171" priority="1921">
      <formula>XEZ19=""</formula>
    </cfRule>
    <cfRule type="expression" priority="1922">
      <formula>XEZ19&gt;0</formula>
    </cfRule>
    <cfRule type="cellIs" dxfId="1170" priority="1923" operator="greaterThan">
      <formula>0</formula>
    </cfRule>
  </conditionalFormatting>
  <conditionalFormatting sqref="J614:J769 J19:J603">
    <cfRule type="expression" dxfId="1169" priority="1918">
      <formula>XEZ19=""</formula>
    </cfRule>
    <cfRule type="expression" priority="1919">
      <formula>XEZ19&gt;0</formula>
    </cfRule>
    <cfRule type="cellIs" dxfId="1168" priority="1920" operator="greaterThan">
      <formula>0</formula>
    </cfRule>
  </conditionalFormatting>
  <conditionalFormatting sqref="J614:J769 J19:J603">
    <cfRule type="expression" dxfId="1167" priority="1915">
      <formula>XEZ19=""</formula>
    </cfRule>
    <cfRule type="expression" priority="1916">
      <formula>XEZ19&gt;0</formula>
    </cfRule>
    <cfRule type="cellIs" dxfId="1166" priority="1917" operator="greaterThan">
      <formula>0</formula>
    </cfRule>
  </conditionalFormatting>
  <conditionalFormatting sqref="J614:J769 J19:J603">
    <cfRule type="expression" dxfId="1165" priority="1912">
      <formula>XEZ19=""</formula>
    </cfRule>
    <cfRule type="expression" priority="1913">
      <formula>XEZ19&gt;0</formula>
    </cfRule>
    <cfRule type="cellIs" dxfId="1164" priority="1914" operator="greaterThan">
      <formula>0</formula>
    </cfRule>
  </conditionalFormatting>
  <conditionalFormatting sqref="J614:J769 J19:J603">
    <cfRule type="expression" dxfId="1163" priority="1909">
      <formula>XEZ19=""</formula>
    </cfRule>
    <cfRule type="expression" priority="1910">
      <formula>XEZ19&gt;0</formula>
    </cfRule>
    <cfRule type="cellIs" dxfId="1162" priority="1911" operator="greaterThan">
      <formula>0</formula>
    </cfRule>
  </conditionalFormatting>
  <conditionalFormatting sqref="J614:J769 J19:J603">
    <cfRule type="expression" dxfId="1161" priority="1906">
      <formula>XEZ19=""</formula>
    </cfRule>
    <cfRule type="expression" priority="1907">
      <formula>XEZ19&gt;0</formula>
    </cfRule>
    <cfRule type="cellIs" dxfId="1160" priority="1908" operator="greaterThan">
      <formula>0</formula>
    </cfRule>
  </conditionalFormatting>
  <conditionalFormatting sqref="J614:J769 J19:J603">
    <cfRule type="expression" dxfId="1159" priority="1903">
      <formula>XEZ19=""</formula>
    </cfRule>
    <cfRule type="expression" priority="1904">
      <formula>XEZ19&gt;0</formula>
    </cfRule>
    <cfRule type="cellIs" dxfId="1158" priority="1905" operator="greaterThan">
      <formula>0</formula>
    </cfRule>
  </conditionalFormatting>
  <conditionalFormatting sqref="J614:J769 J19:J603">
    <cfRule type="expression" dxfId="1157" priority="1900">
      <formula>XEZ19=""</formula>
    </cfRule>
    <cfRule type="expression" priority="1901">
      <formula>XEZ19&gt;0</formula>
    </cfRule>
    <cfRule type="cellIs" dxfId="1156" priority="1902" operator="greaterThan">
      <formula>0</formula>
    </cfRule>
  </conditionalFormatting>
  <conditionalFormatting sqref="J614:J769 J19:J603">
    <cfRule type="expression" dxfId="1155" priority="1897">
      <formula>XEZ19=""</formula>
    </cfRule>
    <cfRule type="expression" priority="1898">
      <formula>XEZ19&gt;0</formula>
    </cfRule>
    <cfRule type="cellIs" dxfId="1154" priority="1899" operator="greaterThan">
      <formula>0</formula>
    </cfRule>
  </conditionalFormatting>
  <conditionalFormatting sqref="J614:J769 J19:J603">
    <cfRule type="expression" dxfId="1153" priority="1894">
      <formula>XEZ19=""</formula>
    </cfRule>
    <cfRule type="expression" priority="1895">
      <formula>XEZ19&gt;0</formula>
    </cfRule>
    <cfRule type="cellIs" dxfId="1152" priority="1896" operator="greaterThan">
      <formula>0</formula>
    </cfRule>
  </conditionalFormatting>
  <conditionalFormatting sqref="J614:J769 J19:J603">
    <cfRule type="expression" dxfId="1151" priority="1891">
      <formula>XEZ19=""</formula>
    </cfRule>
    <cfRule type="expression" priority="1892">
      <formula>XEZ19&gt;0</formula>
    </cfRule>
    <cfRule type="cellIs" dxfId="1150" priority="1893" operator="greaterThan">
      <formula>0</formula>
    </cfRule>
  </conditionalFormatting>
  <conditionalFormatting sqref="J614:J769 J19:J603">
    <cfRule type="expression" dxfId="1149" priority="1888">
      <formula>XEZ19=""</formula>
    </cfRule>
    <cfRule type="expression" priority="1889">
      <formula>XEZ19&gt;0</formula>
    </cfRule>
    <cfRule type="cellIs" dxfId="1148" priority="1890" operator="greaterThan">
      <formula>0</formula>
    </cfRule>
  </conditionalFormatting>
  <conditionalFormatting sqref="J614:J769 J19:J603">
    <cfRule type="expression" dxfId="1147" priority="1885">
      <formula>XEZ19=""</formula>
    </cfRule>
    <cfRule type="expression" priority="1886">
      <formula>XEZ19&gt;0</formula>
    </cfRule>
    <cfRule type="cellIs" dxfId="1146" priority="1887" operator="greaterThan">
      <formula>0</formula>
    </cfRule>
  </conditionalFormatting>
  <conditionalFormatting sqref="J614:J769 J19:J603">
    <cfRule type="expression" dxfId="1145" priority="1882">
      <formula>XEZ19=""</formula>
    </cfRule>
    <cfRule type="expression" priority="1883">
      <formula>XEZ19&gt;0</formula>
    </cfRule>
    <cfRule type="cellIs" dxfId="1144" priority="1884" operator="greaterThan">
      <formula>0</formula>
    </cfRule>
  </conditionalFormatting>
  <conditionalFormatting sqref="J614:J769 J19:J603">
    <cfRule type="expression" dxfId="1143" priority="1879">
      <formula>XEZ19=""</formula>
    </cfRule>
    <cfRule type="expression" priority="1880">
      <formula>XEZ19&gt;0</formula>
    </cfRule>
    <cfRule type="cellIs" dxfId="1142" priority="1881" operator="greaterThan">
      <formula>0</formula>
    </cfRule>
  </conditionalFormatting>
  <conditionalFormatting sqref="J614:J769 J19:J603">
    <cfRule type="expression" dxfId="1141" priority="1876">
      <formula>XEZ19=""</formula>
    </cfRule>
    <cfRule type="expression" priority="1877">
      <formula>XEZ19&gt;0</formula>
    </cfRule>
    <cfRule type="cellIs" dxfId="1140" priority="1878" operator="greaterThan">
      <formula>0</formula>
    </cfRule>
  </conditionalFormatting>
  <conditionalFormatting sqref="J614:J769 J19:J603">
    <cfRule type="expression" dxfId="1139" priority="1873">
      <formula>XEZ19=""</formula>
    </cfRule>
    <cfRule type="expression" priority="1874">
      <formula>XEZ19&gt;0</formula>
    </cfRule>
    <cfRule type="cellIs" dxfId="1138" priority="1875" operator="greaterThan">
      <formula>0</formula>
    </cfRule>
  </conditionalFormatting>
  <conditionalFormatting sqref="J614:J769 J19:J603">
    <cfRule type="expression" dxfId="1137" priority="1870">
      <formula>XEZ19=""</formula>
    </cfRule>
    <cfRule type="expression" priority="1871">
      <formula>XEZ19&gt;0</formula>
    </cfRule>
    <cfRule type="cellIs" dxfId="1136" priority="1872" operator="greaterThan">
      <formula>0</formula>
    </cfRule>
  </conditionalFormatting>
  <conditionalFormatting sqref="J614:J769 J19:J603">
    <cfRule type="expression" dxfId="1135" priority="1867">
      <formula>XEZ19=""</formula>
    </cfRule>
    <cfRule type="expression" priority="1868">
      <formula>XEZ19&gt;0</formula>
    </cfRule>
    <cfRule type="cellIs" dxfId="1134" priority="1869" operator="greaterThan">
      <formula>0</formula>
    </cfRule>
  </conditionalFormatting>
  <conditionalFormatting sqref="J614:J769 J19:J603">
    <cfRule type="expression" dxfId="1133" priority="1864">
      <formula>XEZ19=""</formula>
    </cfRule>
    <cfRule type="expression" priority="1865">
      <formula>XEZ19&gt;0</formula>
    </cfRule>
    <cfRule type="cellIs" dxfId="1132" priority="1866" operator="greaterThan">
      <formula>0</formula>
    </cfRule>
  </conditionalFormatting>
  <conditionalFormatting sqref="J614:J769 J19:J603">
    <cfRule type="expression" dxfId="1131" priority="1861">
      <formula>XEZ19=""</formula>
    </cfRule>
    <cfRule type="expression" priority="1862">
      <formula>XEZ19&gt;0</formula>
    </cfRule>
    <cfRule type="cellIs" dxfId="1130" priority="1863" operator="greaterThan">
      <formula>0</formula>
    </cfRule>
  </conditionalFormatting>
  <conditionalFormatting sqref="J614:J769 J19:J603">
    <cfRule type="expression" dxfId="1129" priority="1858">
      <formula>XEZ19=""</formula>
    </cfRule>
    <cfRule type="expression" priority="1859">
      <formula>XEZ19&gt;0</formula>
    </cfRule>
    <cfRule type="cellIs" dxfId="1128" priority="1860" operator="greaterThan">
      <formula>0</formula>
    </cfRule>
  </conditionalFormatting>
  <conditionalFormatting sqref="J614:J769 J19:J603">
    <cfRule type="expression" dxfId="1127" priority="1855">
      <formula>XEZ19=""</formula>
    </cfRule>
    <cfRule type="expression" priority="1856">
      <formula>XEZ19&gt;0</formula>
    </cfRule>
    <cfRule type="cellIs" dxfId="1126" priority="1857" operator="greaterThan">
      <formula>0</formula>
    </cfRule>
  </conditionalFormatting>
  <conditionalFormatting sqref="J614:J769 J19:J603">
    <cfRule type="expression" dxfId="1125" priority="1852">
      <formula>XEZ19=""</formula>
    </cfRule>
    <cfRule type="expression" priority="1853">
      <formula>XEZ19&gt;0</formula>
    </cfRule>
    <cfRule type="cellIs" dxfId="1124" priority="1854" operator="greaterThan">
      <formula>0</formula>
    </cfRule>
  </conditionalFormatting>
  <conditionalFormatting sqref="J614:J769 J19:J603">
    <cfRule type="expression" dxfId="1123" priority="1849">
      <formula>XEZ19=""</formula>
    </cfRule>
    <cfRule type="expression" priority="1850">
      <formula>XEZ19&gt;0</formula>
    </cfRule>
    <cfRule type="cellIs" dxfId="1122" priority="1851" operator="greaterThan">
      <formula>0</formula>
    </cfRule>
  </conditionalFormatting>
  <conditionalFormatting sqref="J614:J769 J19:J603">
    <cfRule type="expression" dxfId="1121" priority="1846">
      <formula>XEZ19=""</formula>
    </cfRule>
    <cfRule type="expression" priority="1847">
      <formula>XEZ19&gt;0</formula>
    </cfRule>
    <cfRule type="cellIs" dxfId="1120" priority="1848" operator="greaterThan">
      <formula>0</formula>
    </cfRule>
  </conditionalFormatting>
  <conditionalFormatting sqref="J614:J769 J19:J603">
    <cfRule type="expression" dxfId="1119" priority="1843">
      <formula>XEZ19=""</formula>
    </cfRule>
    <cfRule type="expression" priority="1844">
      <formula>XEZ19&gt;0</formula>
    </cfRule>
    <cfRule type="cellIs" dxfId="1118" priority="1845" operator="greaterThan">
      <formula>0</formula>
    </cfRule>
  </conditionalFormatting>
  <conditionalFormatting sqref="J614:J769 J19:J603">
    <cfRule type="expression" dxfId="1117" priority="1840">
      <formula>XEZ19=""</formula>
    </cfRule>
    <cfRule type="expression" priority="1841">
      <formula>XEZ19&gt;0</formula>
    </cfRule>
    <cfRule type="cellIs" dxfId="1116" priority="1842" operator="greaterThan">
      <formula>0</formula>
    </cfRule>
  </conditionalFormatting>
  <conditionalFormatting sqref="J614:J769 J19:J603">
    <cfRule type="expression" dxfId="1115" priority="1837">
      <formula>XEZ19=""</formula>
    </cfRule>
    <cfRule type="expression" priority="1838">
      <formula>XEZ19&gt;0</formula>
    </cfRule>
    <cfRule type="cellIs" dxfId="1114" priority="1839" operator="greaterThan">
      <formula>0</formula>
    </cfRule>
  </conditionalFormatting>
  <conditionalFormatting sqref="J614:J769 J19:J603">
    <cfRule type="expression" dxfId="1113" priority="1834">
      <formula>XEZ19=""</formula>
    </cfRule>
    <cfRule type="expression" priority="1835">
      <formula>XEZ19&gt;0</formula>
    </cfRule>
    <cfRule type="cellIs" dxfId="1112" priority="1836" operator="greaterThan">
      <formula>0</formula>
    </cfRule>
  </conditionalFormatting>
  <conditionalFormatting sqref="J614:J769 J19:J603">
    <cfRule type="expression" dxfId="1111" priority="1831">
      <formula>XEZ19=""</formula>
    </cfRule>
    <cfRule type="expression" priority="1832">
      <formula>XEZ19&gt;0</formula>
    </cfRule>
    <cfRule type="cellIs" dxfId="1110" priority="1833" operator="greaterThan">
      <formula>0</formula>
    </cfRule>
  </conditionalFormatting>
  <conditionalFormatting sqref="J614:J769 J19:J603">
    <cfRule type="expression" dxfId="1109" priority="1828">
      <formula>XEZ19=""</formula>
    </cfRule>
    <cfRule type="expression" priority="1829">
      <formula>XEZ19&gt;0</formula>
    </cfRule>
    <cfRule type="cellIs" dxfId="1108" priority="1830" operator="greaterThan">
      <formula>0</formula>
    </cfRule>
  </conditionalFormatting>
  <conditionalFormatting sqref="J614:J769 J19:J603">
    <cfRule type="expression" dxfId="1107" priority="1825">
      <formula>XEZ19=""</formula>
    </cfRule>
    <cfRule type="expression" priority="1826">
      <formula>XEZ19&gt;0</formula>
    </cfRule>
    <cfRule type="cellIs" dxfId="1106" priority="1827" operator="greaterThan">
      <formula>0</formula>
    </cfRule>
  </conditionalFormatting>
  <conditionalFormatting sqref="K19:K603 K614:K769">
    <cfRule type="expression" dxfId="1105" priority="1822">
      <formula>XFA19=""</formula>
    </cfRule>
    <cfRule type="expression" priority="1823">
      <formula>XFA19&gt;0</formula>
    </cfRule>
    <cfRule type="cellIs" dxfId="1104" priority="1824" operator="greaterThan">
      <formula>0</formula>
    </cfRule>
  </conditionalFormatting>
  <conditionalFormatting sqref="K19:K603 K614:K769">
    <cfRule type="expression" dxfId="1103" priority="1819">
      <formula>XFA19=""</formula>
    </cfRule>
    <cfRule type="expression" priority="1820">
      <formula>XFA19&gt;0</formula>
    </cfRule>
    <cfRule type="cellIs" dxfId="1102" priority="1821" operator="greaterThan">
      <formula>0</formula>
    </cfRule>
  </conditionalFormatting>
  <conditionalFormatting sqref="K19:K603 K614:K769">
    <cfRule type="expression" dxfId="1101" priority="1816">
      <formula>XFA19=""</formula>
    </cfRule>
    <cfRule type="expression" priority="1817">
      <formula>XFA19&gt;0</formula>
    </cfRule>
    <cfRule type="cellIs" dxfId="1100" priority="1818" operator="greaterThan">
      <formula>0</formula>
    </cfRule>
  </conditionalFormatting>
  <conditionalFormatting sqref="K19:K603 K614:K769">
    <cfRule type="expression" dxfId="1099" priority="1813">
      <formula>XFA19=""</formula>
    </cfRule>
    <cfRule type="expression" priority="1814">
      <formula>XFA19&gt;0</formula>
    </cfRule>
    <cfRule type="cellIs" dxfId="1098" priority="1815" operator="greaterThan">
      <formula>0</formula>
    </cfRule>
  </conditionalFormatting>
  <conditionalFormatting sqref="K19:K603 K614:K769">
    <cfRule type="expression" dxfId="1097" priority="1810">
      <formula>XFA19=""</formula>
    </cfRule>
    <cfRule type="expression" priority="1811">
      <formula>XFA19&gt;0</formula>
    </cfRule>
    <cfRule type="cellIs" dxfId="1096" priority="1812" operator="greaterThan">
      <formula>0</formula>
    </cfRule>
  </conditionalFormatting>
  <conditionalFormatting sqref="K19:K603 K614:K769">
    <cfRule type="expression" dxfId="1095" priority="1807">
      <formula>XFA19=""</formula>
    </cfRule>
    <cfRule type="expression" priority="1808">
      <formula>XFA19&gt;0</formula>
    </cfRule>
    <cfRule type="cellIs" dxfId="1094" priority="1809" operator="greaterThan">
      <formula>0</formula>
    </cfRule>
  </conditionalFormatting>
  <conditionalFormatting sqref="K19:K603 K614:K769">
    <cfRule type="expression" dxfId="1093" priority="1804">
      <formula>XFA19=""</formula>
    </cfRule>
    <cfRule type="expression" priority="1805">
      <formula>XFA19&gt;0</formula>
    </cfRule>
    <cfRule type="cellIs" dxfId="1092" priority="1806" operator="greaterThan">
      <formula>0</formula>
    </cfRule>
  </conditionalFormatting>
  <conditionalFormatting sqref="K19:K603 K614:K769">
    <cfRule type="expression" dxfId="1091" priority="1801">
      <formula>XFA19=""</formula>
    </cfRule>
    <cfRule type="expression" priority="1802">
      <formula>XFA19&gt;0</formula>
    </cfRule>
    <cfRule type="cellIs" dxfId="1090" priority="1803" operator="greaterThan">
      <formula>0</formula>
    </cfRule>
  </conditionalFormatting>
  <conditionalFormatting sqref="K19:K603 K614:K769">
    <cfRule type="expression" dxfId="1089" priority="1798">
      <formula>XFA19=""</formula>
    </cfRule>
    <cfRule type="expression" priority="1799">
      <formula>XFA19&gt;0</formula>
    </cfRule>
    <cfRule type="cellIs" dxfId="1088" priority="1800" operator="greaterThan">
      <formula>0</formula>
    </cfRule>
  </conditionalFormatting>
  <conditionalFormatting sqref="K19:K603 K614:K769">
    <cfRule type="expression" dxfId="1087" priority="1795">
      <formula>XFA19=""</formula>
    </cfRule>
    <cfRule type="expression" priority="1796">
      <formula>XFA19&gt;0</formula>
    </cfRule>
    <cfRule type="cellIs" dxfId="1086" priority="1797" operator="greaterThan">
      <formula>0</formula>
    </cfRule>
  </conditionalFormatting>
  <conditionalFormatting sqref="K19:K603 K614:K769">
    <cfRule type="expression" dxfId="1085" priority="1792">
      <formula>XFA19=""</formula>
    </cfRule>
    <cfRule type="expression" priority="1793">
      <formula>XFA19&gt;0</formula>
    </cfRule>
    <cfRule type="cellIs" dxfId="1084" priority="1794" operator="greaterThan">
      <formula>0</formula>
    </cfRule>
  </conditionalFormatting>
  <conditionalFormatting sqref="K19:K603 K614:K769">
    <cfRule type="expression" dxfId="1083" priority="1789">
      <formula>XFA19=""</formula>
    </cfRule>
    <cfRule type="expression" priority="1790">
      <formula>XFA19&gt;0</formula>
    </cfRule>
    <cfRule type="cellIs" dxfId="1082" priority="1791" operator="greaterThan">
      <formula>0</formula>
    </cfRule>
  </conditionalFormatting>
  <conditionalFormatting sqref="K19:K603 K614:K769">
    <cfRule type="expression" dxfId="1081" priority="1786">
      <formula>XFA19=""</formula>
    </cfRule>
    <cfRule type="expression" priority="1787">
      <formula>XFA19&gt;0</formula>
    </cfRule>
    <cfRule type="cellIs" dxfId="1080" priority="1788" operator="greaterThan">
      <formula>0</formula>
    </cfRule>
  </conditionalFormatting>
  <conditionalFormatting sqref="K19:K603 K614:K769">
    <cfRule type="expression" dxfId="1079" priority="1783">
      <formula>XFA19=""</formula>
    </cfRule>
    <cfRule type="expression" priority="1784">
      <formula>XFA19&gt;0</formula>
    </cfRule>
    <cfRule type="cellIs" dxfId="1078" priority="1785" operator="greaterThan">
      <formula>0</formula>
    </cfRule>
  </conditionalFormatting>
  <conditionalFormatting sqref="K19:K603 K614:K769">
    <cfRule type="expression" dxfId="1077" priority="1780">
      <formula>XFA19=""</formula>
    </cfRule>
    <cfRule type="expression" priority="1781">
      <formula>XFA19&gt;0</formula>
    </cfRule>
    <cfRule type="cellIs" dxfId="1076" priority="1782" operator="greaterThan">
      <formula>0</formula>
    </cfRule>
  </conditionalFormatting>
  <conditionalFormatting sqref="K19:K603 K614:K769">
    <cfRule type="expression" dxfId="1075" priority="1777">
      <formula>XFA19=""</formula>
    </cfRule>
    <cfRule type="expression" priority="1778">
      <formula>XFA19&gt;0</formula>
    </cfRule>
    <cfRule type="cellIs" dxfId="1074" priority="1779" operator="greaterThan">
      <formula>0</formula>
    </cfRule>
  </conditionalFormatting>
  <conditionalFormatting sqref="K19:K603 K614:K769">
    <cfRule type="expression" dxfId="1073" priority="1774">
      <formula>XFA19=""</formula>
    </cfRule>
    <cfRule type="expression" priority="1775">
      <formula>XFA19&gt;0</formula>
    </cfRule>
    <cfRule type="cellIs" dxfId="1072" priority="1776" operator="greaterThan">
      <formula>0</formula>
    </cfRule>
  </conditionalFormatting>
  <conditionalFormatting sqref="K19:K603 K614:K769">
    <cfRule type="expression" dxfId="1071" priority="1771">
      <formula>XFA19=""</formula>
    </cfRule>
    <cfRule type="expression" priority="1772">
      <formula>XFA19&gt;0</formula>
    </cfRule>
    <cfRule type="cellIs" dxfId="1070" priority="1773" operator="greaterThan">
      <formula>0</formula>
    </cfRule>
  </conditionalFormatting>
  <conditionalFormatting sqref="K19:K603 K614:K769">
    <cfRule type="expression" dxfId="1069" priority="1768">
      <formula>XFA19=""</formula>
    </cfRule>
    <cfRule type="expression" priority="1769">
      <formula>XFA19&gt;0</formula>
    </cfRule>
    <cfRule type="cellIs" dxfId="1068" priority="1770" operator="greaterThan">
      <formula>0</formula>
    </cfRule>
  </conditionalFormatting>
  <conditionalFormatting sqref="K19:K603 K614:K769">
    <cfRule type="expression" dxfId="1067" priority="1765">
      <formula>XFA19=""</formula>
    </cfRule>
    <cfRule type="expression" priority="1766">
      <formula>XFA19&gt;0</formula>
    </cfRule>
    <cfRule type="cellIs" dxfId="1066" priority="1767" operator="greaterThan">
      <formula>0</formula>
    </cfRule>
  </conditionalFormatting>
  <conditionalFormatting sqref="K19:K603 K614:K769">
    <cfRule type="expression" dxfId="1065" priority="1762">
      <formula>XFA19=""</formula>
    </cfRule>
    <cfRule type="expression" priority="1763">
      <formula>XFA19&gt;0</formula>
    </cfRule>
    <cfRule type="cellIs" dxfId="1064" priority="1764" operator="greaterThan">
      <formula>0</formula>
    </cfRule>
  </conditionalFormatting>
  <conditionalFormatting sqref="K19:K603 K614:K769">
    <cfRule type="expression" dxfId="1063" priority="1759">
      <formula>XFA19=""</formula>
    </cfRule>
    <cfRule type="expression" priority="1760">
      <formula>XFA19&gt;0</formula>
    </cfRule>
    <cfRule type="cellIs" dxfId="1062" priority="1761" operator="greaterThan">
      <formula>0</formula>
    </cfRule>
  </conditionalFormatting>
  <conditionalFormatting sqref="K19:K603 K614:K769">
    <cfRule type="expression" dxfId="1061" priority="1756">
      <formula>XFA19=""</formula>
    </cfRule>
    <cfRule type="expression" priority="1757">
      <formula>XFA19&gt;0</formula>
    </cfRule>
    <cfRule type="cellIs" dxfId="1060" priority="1758" operator="greaterThan">
      <formula>0</formula>
    </cfRule>
  </conditionalFormatting>
  <conditionalFormatting sqref="K19:K603 K614:K769">
    <cfRule type="expression" dxfId="1059" priority="1753">
      <formula>XFA19=""</formula>
    </cfRule>
    <cfRule type="expression" priority="1754">
      <formula>XFA19&gt;0</formula>
    </cfRule>
    <cfRule type="cellIs" dxfId="1058" priority="1755" operator="greaterThan">
      <formula>0</formula>
    </cfRule>
  </conditionalFormatting>
  <conditionalFormatting sqref="K19:K603 K614:K769">
    <cfRule type="expression" dxfId="1057" priority="1750">
      <formula>XFA19=""</formula>
    </cfRule>
    <cfRule type="expression" priority="1751">
      <formula>XFA19&gt;0</formula>
    </cfRule>
    <cfRule type="cellIs" dxfId="1056" priority="1752" operator="greaterThan">
      <formula>0</formula>
    </cfRule>
  </conditionalFormatting>
  <conditionalFormatting sqref="K19:K603 K614:K769">
    <cfRule type="expression" dxfId="1055" priority="1747">
      <formula>XFA19=""</formula>
    </cfRule>
    <cfRule type="expression" priority="1748">
      <formula>XFA19&gt;0</formula>
    </cfRule>
    <cfRule type="cellIs" dxfId="1054" priority="1749" operator="greaterThan">
      <formula>0</formula>
    </cfRule>
  </conditionalFormatting>
  <conditionalFormatting sqref="K19:K603 K614:K769">
    <cfRule type="expression" dxfId="1053" priority="1744">
      <formula>XFA19=""</formula>
    </cfRule>
    <cfRule type="expression" priority="1745">
      <formula>XFA19&gt;0</formula>
    </cfRule>
    <cfRule type="cellIs" dxfId="1052" priority="1746" operator="greaterThan">
      <formula>0</formula>
    </cfRule>
  </conditionalFormatting>
  <conditionalFormatting sqref="K19:K603 K614:K769">
    <cfRule type="expression" dxfId="1051" priority="1741">
      <formula>XFA19=""</formula>
    </cfRule>
    <cfRule type="expression" priority="1742">
      <formula>XFA19&gt;0</formula>
    </cfRule>
    <cfRule type="cellIs" dxfId="1050" priority="1743" operator="greaterThan">
      <formula>0</formula>
    </cfRule>
  </conditionalFormatting>
  <conditionalFormatting sqref="K19:K603 K614:K769">
    <cfRule type="expression" dxfId="1049" priority="1738">
      <formula>XFA19=""</formula>
    </cfRule>
    <cfRule type="expression" priority="1739">
      <formula>XFA19&gt;0</formula>
    </cfRule>
    <cfRule type="cellIs" dxfId="1048" priority="1740" operator="greaterThan">
      <formula>0</formula>
    </cfRule>
  </conditionalFormatting>
  <conditionalFormatting sqref="K19:K603 K614:K769">
    <cfRule type="expression" dxfId="1047" priority="1735">
      <formula>XFA19=""</formula>
    </cfRule>
    <cfRule type="expression" priority="1736">
      <formula>XFA19&gt;0</formula>
    </cfRule>
    <cfRule type="cellIs" dxfId="1046" priority="1737" operator="greaterThan">
      <formula>0</formula>
    </cfRule>
  </conditionalFormatting>
  <conditionalFormatting sqref="K19:K603 K614:K769">
    <cfRule type="expression" dxfId="1045" priority="1732">
      <formula>XFA19=""</formula>
    </cfRule>
    <cfRule type="expression" priority="1733">
      <formula>XFA19&gt;0</formula>
    </cfRule>
    <cfRule type="cellIs" dxfId="1044" priority="1734" operator="greaterThan">
      <formula>0</formula>
    </cfRule>
  </conditionalFormatting>
  <conditionalFormatting sqref="K19:K603 K614:K769">
    <cfRule type="expression" dxfId="1043" priority="1729">
      <formula>XFA19=""</formula>
    </cfRule>
    <cfRule type="expression" priority="1730">
      <formula>XFA19&gt;0</formula>
    </cfRule>
    <cfRule type="cellIs" dxfId="1042" priority="1731" operator="greaterThan">
      <formula>0</formula>
    </cfRule>
  </conditionalFormatting>
  <conditionalFormatting sqref="K19:K603 K614:K769">
    <cfRule type="expression" dxfId="1041" priority="1726">
      <formula>XFA19=""</formula>
    </cfRule>
    <cfRule type="expression" priority="1727">
      <formula>XFA19&gt;0</formula>
    </cfRule>
    <cfRule type="cellIs" dxfId="1040" priority="1728" operator="greaterThan">
      <formula>0</formula>
    </cfRule>
  </conditionalFormatting>
  <conditionalFormatting sqref="K19:K603 K614:K769">
    <cfRule type="expression" dxfId="1039" priority="1723">
      <formula>XFA19=""</formula>
    </cfRule>
    <cfRule type="expression" priority="1724">
      <formula>XFA19&gt;0</formula>
    </cfRule>
    <cfRule type="cellIs" dxfId="1038" priority="1725" operator="greaterThan">
      <formula>0</formula>
    </cfRule>
  </conditionalFormatting>
  <conditionalFormatting sqref="K19:K603 K614:K769">
    <cfRule type="expression" dxfId="1037" priority="1720">
      <formula>XFA19=""</formula>
    </cfRule>
    <cfRule type="expression" priority="1721">
      <formula>XFA19&gt;0</formula>
    </cfRule>
    <cfRule type="cellIs" dxfId="1036" priority="1722" operator="greaterThan">
      <formula>0</formula>
    </cfRule>
  </conditionalFormatting>
  <conditionalFormatting sqref="K19:K603 K614:K769">
    <cfRule type="expression" dxfId="1035" priority="1717">
      <formula>XFA19=""</formula>
    </cfRule>
    <cfRule type="expression" priority="1718">
      <formula>XFA19&gt;0</formula>
    </cfRule>
    <cfRule type="cellIs" dxfId="1034" priority="1719" operator="greaterThan">
      <formula>0</formula>
    </cfRule>
  </conditionalFormatting>
  <conditionalFormatting sqref="K19:K603 K614:K769">
    <cfRule type="expression" dxfId="1033" priority="1714">
      <formula>XFA19=""</formula>
    </cfRule>
    <cfRule type="expression" priority="1715">
      <formula>XFA19&gt;0</formula>
    </cfRule>
    <cfRule type="cellIs" dxfId="1032" priority="1716" operator="greaterThan">
      <formula>0</formula>
    </cfRule>
  </conditionalFormatting>
  <conditionalFormatting sqref="K19:K603 K614:K769">
    <cfRule type="expression" dxfId="1031" priority="1711">
      <formula>XFA19=""</formula>
    </cfRule>
    <cfRule type="expression" priority="1712">
      <formula>XFA19&gt;0</formula>
    </cfRule>
    <cfRule type="cellIs" dxfId="1030" priority="1713" operator="greaterThan">
      <formula>0</formula>
    </cfRule>
  </conditionalFormatting>
  <conditionalFormatting sqref="K19:K603 K614:K769">
    <cfRule type="expression" dxfId="1029" priority="1708">
      <formula>XFA19=""</formula>
    </cfRule>
    <cfRule type="expression" priority="1709">
      <formula>XFA19&gt;0</formula>
    </cfRule>
    <cfRule type="cellIs" dxfId="1028" priority="1710" operator="greaterThan">
      <formula>0</formula>
    </cfRule>
  </conditionalFormatting>
  <conditionalFormatting sqref="K19:K603 K614:K769">
    <cfRule type="expression" dxfId="1027" priority="1705">
      <formula>XFA19=""</formula>
    </cfRule>
    <cfRule type="expression" priority="1706">
      <formula>XFA19&gt;0</formula>
    </cfRule>
    <cfRule type="cellIs" dxfId="1026" priority="1707" operator="greaterThan">
      <formula>0</formula>
    </cfRule>
  </conditionalFormatting>
  <conditionalFormatting sqref="K19:K603 K614:K769">
    <cfRule type="expression" dxfId="1025" priority="1702">
      <formula>XFA19=""</formula>
    </cfRule>
    <cfRule type="expression" priority="1703">
      <formula>XFA19&gt;0</formula>
    </cfRule>
    <cfRule type="cellIs" dxfId="1024" priority="1704" operator="greaterThan">
      <formula>0</formula>
    </cfRule>
  </conditionalFormatting>
  <conditionalFormatting sqref="K19:K603 K614:K769">
    <cfRule type="expression" dxfId="1023" priority="1699">
      <formula>XFA19=""</formula>
    </cfRule>
    <cfRule type="expression" priority="1700">
      <formula>XFA19&gt;0</formula>
    </cfRule>
    <cfRule type="cellIs" dxfId="1022" priority="1701" operator="greaterThan">
      <formula>0</formula>
    </cfRule>
  </conditionalFormatting>
  <conditionalFormatting sqref="K19:K603 K614:K769">
    <cfRule type="expression" dxfId="1021" priority="1696">
      <formula>XFA19=""</formula>
    </cfRule>
    <cfRule type="expression" priority="1697">
      <formula>XFA19&gt;0</formula>
    </cfRule>
    <cfRule type="cellIs" dxfId="1020" priority="1698" operator="greaterThan">
      <formula>0</formula>
    </cfRule>
  </conditionalFormatting>
  <conditionalFormatting sqref="K19:K603 K614:K769">
    <cfRule type="expression" dxfId="1019" priority="1693">
      <formula>XFA19=""</formula>
    </cfRule>
    <cfRule type="expression" priority="1694">
      <formula>XFA19&gt;0</formula>
    </cfRule>
    <cfRule type="cellIs" dxfId="1018" priority="1695" operator="greaterThan">
      <formula>0</formula>
    </cfRule>
  </conditionalFormatting>
  <conditionalFormatting sqref="K19:K603 K614:K769">
    <cfRule type="expression" dxfId="1017" priority="1690">
      <formula>XFA19=""</formula>
    </cfRule>
    <cfRule type="expression" priority="1691">
      <formula>XFA19&gt;0</formula>
    </cfRule>
    <cfRule type="cellIs" dxfId="1016" priority="1692" operator="greaterThan">
      <formula>0</formula>
    </cfRule>
  </conditionalFormatting>
  <conditionalFormatting sqref="K19:K603 K614:K769">
    <cfRule type="expression" dxfId="1015" priority="1687">
      <formula>XFA19=""</formula>
    </cfRule>
    <cfRule type="expression" priority="1688">
      <formula>XFA19&gt;0</formula>
    </cfRule>
    <cfRule type="cellIs" dxfId="1014" priority="1689" operator="greaterThan">
      <formula>0</formula>
    </cfRule>
  </conditionalFormatting>
  <conditionalFormatting sqref="K19:K603 K614:K769">
    <cfRule type="expression" dxfId="1013" priority="1684">
      <formula>XFA19=""</formula>
    </cfRule>
    <cfRule type="expression" priority="1685">
      <formula>XFA19&gt;0</formula>
    </cfRule>
    <cfRule type="cellIs" dxfId="1012" priority="1686" operator="greaterThan">
      <formula>0</formula>
    </cfRule>
  </conditionalFormatting>
  <conditionalFormatting sqref="K19:K603 K614:K769">
    <cfRule type="expression" dxfId="1011" priority="1681">
      <formula>XFA19=""</formula>
    </cfRule>
    <cfRule type="expression" priority="1682">
      <formula>XFA19&gt;0</formula>
    </cfRule>
    <cfRule type="cellIs" dxfId="1010" priority="1683" operator="greaterThan">
      <formula>0</formula>
    </cfRule>
  </conditionalFormatting>
  <conditionalFormatting sqref="K19:K603 K614:K769">
    <cfRule type="expression" dxfId="1009" priority="1678">
      <formula>XFA19=""</formula>
    </cfRule>
    <cfRule type="expression" priority="1679">
      <formula>XFA19&gt;0</formula>
    </cfRule>
    <cfRule type="cellIs" dxfId="1008" priority="1680" operator="greaterThan">
      <formula>0</formula>
    </cfRule>
  </conditionalFormatting>
  <conditionalFormatting sqref="K19:K603 K614:K769">
    <cfRule type="expression" dxfId="1007" priority="1675">
      <formula>XFA19=""</formula>
    </cfRule>
    <cfRule type="expression" priority="1676">
      <formula>XFA19&gt;0</formula>
    </cfRule>
    <cfRule type="cellIs" dxfId="1006" priority="1677" operator="greaterThan">
      <formula>0</formula>
    </cfRule>
  </conditionalFormatting>
  <conditionalFormatting sqref="K19:K603 K614:K769">
    <cfRule type="expression" dxfId="1005" priority="1672">
      <formula>XFA19=""</formula>
    </cfRule>
    <cfRule type="expression" priority="1673">
      <formula>XFA19&gt;0</formula>
    </cfRule>
    <cfRule type="cellIs" dxfId="1004" priority="1674" operator="greaterThan">
      <formula>0</formula>
    </cfRule>
  </conditionalFormatting>
  <conditionalFormatting sqref="K19:K603 K614:K769">
    <cfRule type="expression" dxfId="1003" priority="1669">
      <formula>XFA19=""</formula>
    </cfRule>
    <cfRule type="expression" priority="1670">
      <formula>XFA19&gt;0</formula>
    </cfRule>
    <cfRule type="cellIs" dxfId="1002" priority="1671" operator="greaterThan">
      <formula>0</formula>
    </cfRule>
  </conditionalFormatting>
  <conditionalFormatting sqref="K19:K603 K614:K769">
    <cfRule type="expression" dxfId="1001" priority="1666">
      <formula>XFA19=""</formula>
    </cfRule>
    <cfRule type="expression" priority="1667">
      <formula>XFA19&gt;0</formula>
    </cfRule>
    <cfRule type="cellIs" dxfId="1000" priority="1668" operator="greaterThan">
      <formula>0</formula>
    </cfRule>
  </conditionalFormatting>
  <conditionalFormatting sqref="K19:K603 K614:K769">
    <cfRule type="expression" dxfId="999" priority="1663">
      <formula>XFA19=""</formula>
    </cfRule>
    <cfRule type="expression" priority="1664">
      <formula>XFA19&gt;0</formula>
    </cfRule>
    <cfRule type="cellIs" dxfId="998" priority="1665" operator="greaterThan">
      <formula>0</formula>
    </cfRule>
  </conditionalFormatting>
  <conditionalFormatting sqref="K19:K603 K614:K769">
    <cfRule type="expression" dxfId="997" priority="1660">
      <formula>XFA19=""</formula>
    </cfRule>
    <cfRule type="expression" priority="1661">
      <formula>XFA19&gt;0</formula>
    </cfRule>
    <cfRule type="cellIs" dxfId="996" priority="1662" operator="greaterThan">
      <formula>0</formula>
    </cfRule>
  </conditionalFormatting>
  <conditionalFormatting sqref="L20:L603 L614:L769">
    <cfRule type="expression" dxfId="995" priority="1657">
      <formula>B20=""</formula>
    </cfRule>
    <cfRule type="expression" priority="1658">
      <formula>B20&gt;0</formula>
    </cfRule>
    <cfRule type="cellIs" dxfId="994" priority="1659" operator="greaterThan">
      <formula>0</formula>
    </cfRule>
  </conditionalFormatting>
  <conditionalFormatting sqref="L20:L603 L614:L769">
    <cfRule type="expression" dxfId="993" priority="1654">
      <formula>B20=""</formula>
    </cfRule>
    <cfRule type="expression" priority="1655">
      <formula>B20&gt;0</formula>
    </cfRule>
    <cfRule type="cellIs" dxfId="992" priority="1656" operator="greaterThan">
      <formula>0</formula>
    </cfRule>
  </conditionalFormatting>
  <conditionalFormatting sqref="L20:L603 L614:L769">
    <cfRule type="expression" dxfId="991" priority="1651">
      <formula>B20=""</formula>
    </cfRule>
    <cfRule type="expression" priority="1652">
      <formula>B20&gt;0</formula>
    </cfRule>
    <cfRule type="cellIs" dxfId="990" priority="1653" operator="greaterThan">
      <formula>0</formula>
    </cfRule>
  </conditionalFormatting>
  <conditionalFormatting sqref="L20:L603 L614:L769">
    <cfRule type="expression" dxfId="989" priority="1648">
      <formula>B20=""</formula>
    </cfRule>
    <cfRule type="expression" priority="1649">
      <formula>B20&gt;0</formula>
    </cfRule>
    <cfRule type="cellIs" dxfId="988" priority="1650" operator="greaterThan">
      <formula>0</formula>
    </cfRule>
  </conditionalFormatting>
  <conditionalFormatting sqref="L20:L603 L614:L769">
    <cfRule type="expression" dxfId="987" priority="1645">
      <formula>B20=""</formula>
    </cfRule>
    <cfRule type="expression" priority="1646">
      <formula>B20&gt;0</formula>
    </cfRule>
    <cfRule type="cellIs" dxfId="986" priority="1647" operator="greaterThan">
      <formula>0</formula>
    </cfRule>
  </conditionalFormatting>
  <conditionalFormatting sqref="L20:L603 L614:L769">
    <cfRule type="expression" dxfId="985" priority="1642">
      <formula>B20=""</formula>
    </cfRule>
    <cfRule type="expression" priority="1643">
      <formula>B20&gt;0</formula>
    </cfRule>
    <cfRule type="cellIs" dxfId="984" priority="1644" operator="greaterThan">
      <formula>0</formula>
    </cfRule>
  </conditionalFormatting>
  <conditionalFormatting sqref="L20:L603 L614:L769">
    <cfRule type="expression" dxfId="983" priority="1639">
      <formula>B20=""</formula>
    </cfRule>
    <cfRule type="expression" priority="1640">
      <formula>B20&gt;0</formula>
    </cfRule>
    <cfRule type="cellIs" dxfId="982" priority="1641" operator="greaterThan">
      <formula>0</formula>
    </cfRule>
  </conditionalFormatting>
  <conditionalFormatting sqref="L20:L603 L614:L769">
    <cfRule type="expression" dxfId="981" priority="1636">
      <formula>B20=""</formula>
    </cfRule>
    <cfRule type="expression" priority="1637">
      <formula>B20&gt;0</formula>
    </cfRule>
    <cfRule type="cellIs" dxfId="980" priority="1638" operator="greaterThan">
      <formula>0</formula>
    </cfRule>
  </conditionalFormatting>
  <conditionalFormatting sqref="L20:L603 L614:L769">
    <cfRule type="expression" dxfId="979" priority="1633">
      <formula>B20=""</formula>
    </cfRule>
    <cfRule type="expression" priority="1634">
      <formula>B20&gt;0</formula>
    </cfRule>
    <cfRule type="cellIs" dxfId="978" priority="1635" operator="greaterThan">
      <formula>0</formula>
    </cfRule>
  </conditionalFormatting>
  <conditionalFormatting sqref="L20:L603 L614:L769">
    <cfRule type="expression" dxfId="977" priority="1630">
      <formula>B20=""</formula>
    </cfRule>
    <cfRule type="expression" priority="1631">
      <formula>B20&gt;0</formula>
    </cfRule>
    <cfRule type="cellIs" dxfId="976" priority="1632" operator="greaterThan">
      <formula>0</formula>
    </cfRule>
  </conditionalFormatting>
  <conditionalFormatting sqref="L20:L603 L614:L769">
    <cfRule type="expression" dxfId="975" priority="1627">
      <formula>B20=""</formula>
    </cfRule>
    <cfRule type="expression" priority="1628">
      <formula>B20&gt;0</formula>
    </cfRule>
    <cfRule type="cellIs" dxfId="974" priority="1629" operator="greaterThan">
      <formula>0</formula>
    </cfRule>
  </conditionalFormatting>
  <conditionalFormatting sqref="L20:L603 L614:L769">
    <cfRule type="expression" dxfId="973" priority="1624">
      <formula>B20=""</formula>
    </cfRule>
    <cfRule type="expression" priority="1625">
      <formula>B20&gt;0</formula>
    </cfRule>
    <cfRule type="cellIs" dxfId="972" priority="1626" operator="greaterThan">
      <formula>0</formula>
    </cfRule>
  </conditionalFormatting>
  <conditionalFormatting sqref="L20:L603 L614:L769">
    <cfRule type="expression" dxfId="971" priority="1621">
      <formula>B20=""</formula>
    </cfRule>
    <cfRule type="expression" priority="1622">
      <formula>B20&gt;0</formula>
    </cfRule>
    <cfRule type="cellIs" dxfId="970" priority="1623" operator="greaterThan">
      <formula>0</formula>
    </cfRule>
  </conditionalFormatting>
  <conditionalFormatting sqref="L20:L603 L614:L769">
    <cfRule type="expression" dxfId="969" priority="1618">
      <formula>B20=""</formula>
    </cfRule>
    <cfRule type="expression" priority="1619">
      <formula>B20&gt;0</formula>
    </cfRule>
    <cfRule type="cellIs" dxfId="968" priority="1620" operator="greaterThan">
      <formula>0</formula>
    </cfRule>
  </conditionalFormatting>
  <conditionalFormatting sqref="L20:L603 L614:L769">
    <cfRule type="expression" dxfId="967" priority="1615">
      <formula>B20=""</formula>
    </cfRule>
    <cfRule type="expression" priority="1616">
      <formula>B20&gt;0</formula>
    </cfRule>
    <cfRule type="cellIs" dxfId="966" priority="1617" operator="greaterThan">
      <formula>0</formula>
    </cfRule>
  </conditionalFormatting>
  <conditionalFormatting sqref="L20:L603 L614:L769">
    <cfRule type="expression" dxfId="965" priority="1612">
      <formula>B20=""</formula>
    </cfRule>
    <cfRule type="expression" priority="1613">
      <formula>B20&gt;0</formula>
    </cfRule>
    <cfRule type="cellIs" dxfId="964" priority="1614" operator="greaterThan">
      <formula>0</formula>
    </cfRule>
  </conditionalFormatting>
  <conditionalFormatting sqref="L20:L603 L614:L769">
    <cfRule type="expression" dxfId="963" priority="1609">
      <formula>B20=""</formula>
    </cfRule>
    <cfRule type="expression" priority="1610">
      <formula>B20&gt;0</formula>
    </cfRule>
    <cfRule type="cellIs" dxfId="962" priority="1611" operator="greaterThan">
      <formula>0</formula>
    </cfRule>
  </conditionalFormatting>
  <conditionalFormatting sqref="L20:L603 L614:L769">
    <cfRule type="expression" dxfId="961" priority="1606">
      <formula>B20=""</formula>
    </cfRule>
    <cfRule type="expression" priority="1607">
      <formula>B20&gt;0</formula>
    </cfRule>
    <cfRule type="cellIs" dxfId="960" priority="1608" operator="greaterThan">
      <formula>0</formula>
    </cfRule>
  </conditionalFormatting>
  <conditionalFormatting sqref="L20:L603 L614:L769">
    <cfRule type="expression" dxfId="959" priority="1603">
      <formula>B20=""</formula>
    </cfRule>
    <cfRule type="expression" priority="1604">
      <formula>B20&gt;0</formula>
    </cfRule>
    <cfRule type="cellIs" dxfId="958" priority="1605" operator="greaterThan">
      <formula>0</formula>
    </cfRule>
  </conditionalFormatting>
  <conditionalFormatting sqref="L20:L603 L614:L769">
    <cfRule type="expression" dxfId="957" priority="1600">
      <formula>B20=""</formula>
    </cfRule>
    <cfRule type="expression" priority="1601">
      <formula>B20&gt;0</formula>
    </cfRule>
    <cfRule type="cellIs" dxfId="956" priority="1602" operator="greaterThan">
      <formula>0</formula>
    </cfRule>
  </conditionalFormatting>
  <conditionalFormatting sqref="L20:L603 L614:L769">
    <cfRule type="expression" dxfId="955" priority="1597">
      <formula>B20=""</formula>
    </cfRule>
    <cfRule type="expression" priority="1598">
      <formula>B20&gt;0</formula>
    </cfRule>
    <cfRule type="cellIs" dxfId="954" priority="1599" operator="greaterThan">
      <formula>0</formula>
    </cfRule>
  </conditionalFormatting>
  <conditionalFormatting sqref="L20:L603 L614:L769">
    <cfRule type="expression" dxfId="953" priority="1594">
      <formula>B20=""</formula>
    </cfRule>
    <cfRule type="expression" priority="1595">
      <formula>B20&gt;0</formula>
    </cfRule>
    <cfRule type="cellIs" dxfId="952" priority="1596" operator="greaterThan">
      <formula>0</formula>
    </cfRule>
  </conditionalFormatting>
  <conditionalFormatting sqref="L20:L603 L614:L769">
    <cfRule type="expression" dxfId="951" priority="1591">
      <formula>B20=""</formula>
    </cfRule>
    <cfRule type="expression" priority="1592">
      <formula>B20&gt;0</formula>
    </cfRule>
    <cfRule type="cellIs" dxfId="950" priority="1593" operator="greaterThan">
      <formula>0</formula>
    </cfRule>
  </conditionalFormatting>
  <conditionalFormatting sqref="L20:L603 L614:L769">
    <cfRule type="expression" dxfId="949" priority="1588">
      <formula>B20=""</formula>
    </cfRule>
    <cfRule type="expression" priority="1589">
      <formula>B20&gt;0</formula>
    </cfRule>
    <cfRule type="cellIs" dxfId="948" priority="1590" operator="greaterThan">
      <formula>0</formula>
    </cfRule>
  </conditionalFormatting>
  <conditionalFormatting sqref="L20:L603 L614:L769">
    <cfRule type="expression" dxfId="947" priority="1585">
      <formula>B20=""</formula>
    </cfRule>
    <cfRule type="expression" priority="1586">
      <formula>B20&gt;0</formula>
    </cfRule>
    <cfRule type="cellIs" dxfId="946" priority="1587" operator="greaterThan">
      <formula>0</formula>
    </cfRule>
  </conditionalFormatting>
  <conditionalFormatting sqref="L20:L603 L614:L769">
    <cfRule type="expression" dxfId="945" priority="1582">
      <formula>B20=""</formula>
    </cfRule>
    <cfRule type="expression" priority="1583">
      <formula>B20&gt;0</formula>
    </cfRule>
    <cfRule type="cellIs" dxfId="944" priority="1584" operator="greaterThan">
      <formula>0</formula>
    </cfRule>
  </conditionalFormatting>
  <conditionalFormatting sqref="L20:L603 L614:L769">
    <cfRule type="expression" dxfId="943" priority="1579">
      <formula>B20=""</formula>
    </cfRule>
    <cfRule type="expression" priority="1580">
      <formula>B20&gt;0</formula>
    </cfRule>
    <cfRule type="cellIs" dxfId="942" priority="1581" operator="greaterThan">
      <formula>0</formula>
    </cfRule>
  </conditionalFormatting>
  <conditionalFormatting sqref="L20:L603 L614:L769">
    <cfRule type="expression" dxfId="941" priority="1576">
      <formula>B20=""</formula>
    </cfRule>
    <cfRule type="expression" priority="1577">
      <formula>B20&gt;0</formula>
    </cfRule>
    <cfRule type="cellIs" dxfId="940" priority="1578" operator="greaterThan">
      <formula>0</formula>
    </cfRule>
  </conditionalFormatting>
  <conditionalFormatting sqref="L20:L603 L614:L769">
    <cfRule type="expression" dxfId="939" priority="1573">
      <formula>B20=""</formula>
    </cfRule>
    <cfRule type="expression" priority="1574">
      <formula>B20&gt;0</formula>
    </cfRule>
    <cfRule type="cellIs" dxfId="938" priority="1575" operator="greaterThan">
      <formula>0</formula>
    </cfRule>
  </conditionalFormatting>
  <conditionalFormatting sqref="L20:L603 L614:L769">
    <cfRule type="expression" dxfId="937" priority="1570">
      <formula>B20=""</formula>
    </cfRule>
    <cfRule type="expression" priority="1571">
      <formula>B20&gt;0</formula>
    </cfRule>
    <cfRule type="cellIs" dxfId="936" priority="1572" operator="greaterThan">
      <formula>0</formula>
    </cfRule>
  </conditionalFormatting>
  <conditionalFormatting sqref="L20:L603 L614:L769">
    <cfRule type="expression" dxfId="935" priority="1567">
      <formula>B20=""</formula>
    </cfRule>
    <cfRule type="expression" priority="1568">
      <formula>B20&gt;0</formula>
    </cfRule>
    <cfRule type="cellIs" dxfId="934" priority="1569" operator="greaterThan">
      <formula>0</formula>
    </cfRule>
  </conditionalFormatting>
  <conditionalFormatting sqref="L20:L603 L614:L769">
    <cfRule type="expression" dxfId="933" priority="1564">
      <formula>B20=""</formula>
    </cfRule>
    <cfRule type="expression" priority="1565">
      <formula>B20&gt;0</formula>
    </cfRule>
    <cfRule type="cellIs" dxfId="932" priority="1566" operator="greaterThan">
      <formula>0</formula>
    </cfRule>
  </conditionalFormatting>
  <conditionalFormatting sqref="L20:L603 L614:L769">
    <cfRule type="expression" dxfId="931" priority="1561">
      <formula>B20=""</formula>
    </cfRule>
    <cfRule type="expression" priority="1562">
      <formula>B20&gt;0</formula>
    </cfRule>
    <cfRule type="cellIs" dxfId="930" priority="1563" operator="greaterThan">
      <formula>0</formula>
    </cfRule>
  </conditionalFormatting>
  <conditionalFormatting sqref="L20:L603 L614:L769">
    <cfRule type="expression" dxfId="929" priority="1558">
      <formula>B20=""</formula>
    </cfRule>
    <cfRule type="expression" priority="1559">
      <formula>B20&gt;0</formula>
    </cfRule>
    <cfRule type="cellIs" dxfId="928" priority="1560" operator="greaterThan">
      <formula>0</formula>
    </cfRule>
  </conditionalFormatting>
  <conditionalFormatting sqref="L20:L603 L614:L769">
    <cfRule type="expression" dxfId="927" priority="1555">
      <formula>B20=""</formula>
    </cfRule>
    <cfRule type="expression" priority="1556">
      <formula>B20&gt;0</formula>
    </cfRule>
    <cfRule type="cellIs" dxfId="926" priority="1557" operator="greaterThan">
      <formula>0</formula>
    </cfRule>
  </conditionalFormatting>
  <conditionalFormatting sqref="L20:L603 L614:L769">
    <cfRule type="expression" dxfId="925" priority="1552">
      <formula>B20=""</formula>
    </cfRule>
    <cfRule type="expression" priority="1553">
      <formula>B20&gt;0</formula>
    </cfRule>
    <cfRule type="cellIs" dxfId="924" priority="1554" operator="greaterThan">
      <formula>0</formula>
    </cfRule>
  </conditionalFormatting>
  <conditionalFormatting sqref="L20:L603 L614:L769">
    <cfRule type="expression" dxfId="923" priority="1549">
      <formula>B20=""</formula>
    </cfRule>
    <cfRule type="expression" priority="1550">
      <formula>B20&gt;0</formula>
    </cfRule>
    <cfRule type="cellIs" dxfId="922" priority="1551" operator="greaterThan">
      <formula>0</formula>
    </cfRule>
  </conditionalFormatting>
  <conditionalFormatting sqref="L20:L603 L614:L769">
    <cfRule type="expression" dxfId="921" priority="1546">
      <formula>B20=""</formula>
    </cfRule>
    <cfRule type="expression" priority="1547">
      <formula>B20&gt;0</formula>
    </cfRule>
    <cfRule type="cellIs" dxfId="920" priority="1548" operator="greaterThan">
      <formula>0</formula>
    </cfRule>
  </conditionalFormatting>
  <conditionalFormatting sqref="L20:L603 L614:L769">
    <cfRule type="expression" dxfId="919" priority="1543">
      <formula>B20=""</formula>
    </cfRule>
    <cfRule type="expression" priority="1544">
      <formula>B20&gt;0</formula>
    </cfRule>
    <cfRule type="cellIs" dxfId="918" priority="1545" operator="greaterThan">
      <formula>0</formula>
    </cfRule>
  </conditionalFormatting>
  <conditionalFormatting sqref="L20:L603 L614:L769">
    <cfRule type="expression" dxfId="917" priority="1540">
      <formula>B20=""</formula>
    </cfRule>
    <cfRule type="expression" priority="1541">
      <formula>B20&gt;0</formula>
    </cfRule>
    <cfRule type="cellIs" dxfId="916" priority="1542" operator="greaterThan">
      <formula>0</formula>
    </cfRule>
  </conditionalFormatting>
  <conditionalFormatting sqref="L20:L603 L614:L769">
    <cfRule type="expression" dxfId="915" priority="1537">
      <formula>B20=""</formula>
    </cfRule>
    <cfRule type="expression" priority="1538">
      <formula>B20&gt;0</formula>
    </cfRule>
    <cfRule type="cellIs" dxfId="914" priority="1539" operator="greaterThan">
      <formula>0</formula>
    </cfRule>
  </conditionalFormatting>
  <conditionalFormatting sqref="L20:L603 L614:L769">
    <cfRule type="expression" dxfId="913" priority="1534">
      <formula>B20=""</formula>
    </cfRule>
    <cfRule type="expression" priority="1535">
      <formula>B20&gt;0</formula>
    </cfRule>
    <cfRule type="cellIs" dxfId="912" priority="1536" operator="greaterThan">
      <formula>0</formula>
    </cfRule>
  </conditionalFormatting>
  <conditionalFormatting sqref="L20:L603 L614:L769">
    <cfRule type="expression" dxfId="911" priority="1531">
      <formula>B20=""</formula>
    </cfRule>
    <cfRule type="expression" priority="1532">
      <formula>B20&gt;0</formula>
    </cfRule>
    <cfRule type="cellIs" dxfId="910" priority="1533" operator="greaterThan">
      <formula>0</formula>
    </cfRule>
  </conditionalFormatting>
  <conditionalFormatting sqref="L20:L603 L614:L769">
    <cfRule type="expression" dxfId="909" priority="1528">
      <formula>B20=""</formula>
    </cfRule>
    <cfRule type="expression" priority="1529">
      <formula>B20&gt;0</formula>
    </cfRule>
    <cfRule type="cellIs" dxfId="908" priority="1530" operator="greaterThan">
      <formula>0</formula>
    </cfRule>
  </conditionalFormatting>
  <conditionalFormatting sqref="L20:L603 L614:L769">
    <cfRule type="expression" dxfId="907" priority="1525">
      <formula>B20=""</formula>
    </cfRule>
    <cfRule type="expression" priority="1526">
      <formula>B20&gt;0</formula>
    </cfRule>
    <cfRule type="cellIs" dxfId="906" priority="1527" operator="greaterThan">
      <formula>0</formula>
    </cfRule>
  </conditionalFormatting>
  <conditionalFormatting sqref="L20:L603 L614:L769">
    <cfRule type="expression" dxfId="905" priority="1522">
      <formula>B20=""</formula>
    </cfRule>
    <cfRule type="expression" priority="1523">
      <formula>B20&gt;0</formula>
    </cfRule>
    <cfRule type="cellIs" dxfId="904" priority="1524" operator="greaterThan">
      <formula>0</formula>
    </cfRule>
  </conditionalFormatting>
  <conditionalFormatting sqref="L20:L603 L614:L769">
    <cfRule type="expression" dxfId="903" priority="1519">
      <formula>B20=""</formula>
    </cfRule>
    <cfRule type="expression" priority="1520">
      <formula>B20&gt;0</formula>
    </cfRule>
    <cfRule type="cellIs" dxfId="902" priority="1521" operator="greaterThan">
      <formula>0</formula>
    </cfRule>
  </conditionalFormatting>
  <conditionalFormatting sqref="L20:L603 L614:L769">
    <cfRule type="expression" dxfId="901" priority="1516">
      <formula>B20=""</formula>
    </cfRule>
    <cfRule type="expression" priority="1517">
      <formula>B20&gt;0</formula>
    </cfRule>
    <cfRule type="cellIs" dxfId="900" priority="1518" operator="greaterThan">
      <formula>0</formula>
    </cfRule>
  </conditionalFormatting>
  <conditionalFormatting sqref="L20:L603 L614:L769">
    <cfRule type="expression" dxfId="899" priority="1513">
      <formula>B20=""</formula>
    </cfRule>
    <cfRule type="expression" priority="1514">
      <formula>B20&gt;0</formula>
    </cfRule>
    <cfRule type="cellIs" dxfId="898" priority="1515" operator="greaterThan">
      <formula>0</formula>
    </cfRule>
  </conditionalFormatting>
  <conditionalFormatting sqref="L20:L603 L614:L769">
    <cfRule type="expression" dxfId="897" priority="1510">
      <formula>B20=""</formula>
    </cfRule>
    <cfRule type="expression" priority="1511">
      <formula>B20&gt;0</formula>
    </cfRule>
    <cfRule type="cellIs" dxfId="896" priority="1512" operator="greaterThan">
      <formula>0</formula>
    </cfRule>
  </conditionalFormatting>
  <conditionalFormatting sqref="L20:L603 L614:L769">
    <cfRule type="expression" dxfId="895" priority="1507">
      <formula>B20=""</formula>
    </cfRule>
    <cfRule type="expression" priority="1508">
      <formula>B20&gt;0</formula>
    </cfRule>
    <cfRule type="cellIs" dxfId="894" priority="1509" operator="greaterThan">
      <formula>0</formula>
    </cfRule>
  </conditionalFormatting>
  <conditionalFormatting sqref="L20:L603 L614:L769">
    <cfRule type="expression" dxfId="893" priority="1504">
      <formula>B20=""</formula>
    </cfRule>
    <cfRule type="expression" priority="1505">
      <formula>B20&gt;0</formula>
    </cfRule>
    <cfRule type="cellIs" dxfId="892" priority="1506" operator="greaterThan">
      <formula>0</formula>
    </cfRule>
  </conditionalFormatting>
  <conditionalFormatting sqref="L20:L603 L614:L769">
    <cfRule type="expression" dxfId="891" priority="1501">
      <formula>B20=""</formula>
    </cfRule>
    <cfRule type="expression" priority="1502">
      <formula>B20&gt;0</formula>
    </cfRule>
    <cfRule type="cellIs" dxfId="890" priority="1503" operator="greaterThan">
      <formula>0</formula>
    </cfRule>
  </conditionalFormatting>
  <conditionalFormatting sqref="L20:L603 L614:L769">
    <cfRule type="expression" dxfId="889" priority="1498">
      <formula>B20=""</formula>
    </cfRule>
    <cfRule type="expression" priority="1499">
      <formula>B20&gt;0</formula>
    </cfRule>
    <cfRule type="cellIs" dxfId="888" priority="1500" operator="greaterThan">
      <formula>0</formula>
    </cfRule>
  </conditionalFormatting>
  <conditionalFormatting sqref="L20:L603 L614:L769">
    <cfRule type="expression" dxfId="887" priority="1495">
      <formula>B20=""</formula>
    </cfRule>
    <cfRule type="expression" priority="1496">
      <formula>B20&gt;0</formula>
    </cfRule>
    <cfRule type="cellIs" dxfId="886" priority="1497" operator="greaterThan">
      <formula>0</formula>
    </cfRule>
  </conditionalFormatting>
  <conditionalFormatting sqref="L20:L603 L614:L769">
    <cfRule type="expression" dxfId="885" priority="1492">
      <formula>B20=""</formula>
    </cfRule>
    <cfRule type="expression" priority="1493">
      <formula>B20&gt;0</formula>
    </cfRule>
    <cfRule type="cellIs" dxfId="884" priority="1494" operator="greaterThan">
      <formula>0</formula>
    </cfRule>
  </conditionalFormatting>
  <conditionalFormatting sqref="E604:K613">
    <cfRule type="expression" dxfId="883" priority="1489">
      <formula>XEU604=""</formula>
    </cfRule>
    <cfRule type="expression" priority="1490">
      <formula>XEU604&gt;0</formula>
    </cfRule>
    <cfRule type="cellIs" dxfId="882" priority="1491" operator="greaterThan">
      <formula>0</formula>
    </cfRule>
  </conditionalFormatting>
  <conditionalFormatting sqref="E604:E613">
    <cfRule type="expression" dxfId="881" priority="1321">
      <formula>XEU604=""</formula>
    </cfRule>
    <cfRule type="expression" priority="1322">
      <formula>XEU604&gt;0</formula>
    </cfRule>
    <cfRule type="cellIs" dxfId="880" priority="1323" operator="greaterThan">
      <formula>0</formula>
    </cfRule>
  </conditionalFormatting>
  <conditionalFormatting sqref="E604:E613">
    <cfRule type="expression" dxfId="879" priority="1318">
      <formula>XEU604=""</formula>
    </cfRule>
    <cfRule type="expression" priority="1319">
      <formula>XEU604&gt;0</formula>
    </cfRule>
    <cfRule type="cellIs" dxfId="878" priority="1320" operator="greaterThan">
      <formula>0</formula>
    </cfRule>
  </conditionalFormatting>
  <conditionalFormatting sqref="E604:E613">
    <cfRule type="expression" dxfId="877" priority="1315">
      <formula>XEU604=""</formula>
    </cfRule>
    <cfRule type="expression" priority="1316">
      <formula>XEU604&gt;0</formula>
    </cfRule>
    <cfRule type="cellIs" dxfId="876" priority="1317" operator="greaterThan">
      <formula>0</formula>
    </cfRule>
  </conditionalFormatting>
  <conditionalFormatting sqref="E604:E613">
    <cfRule type="expression" dxfId="875" priority="1312">
      <formula>XEU604=""</formula>
    </cfRule>
    <cfRule type="expression" priority="1313">
      <formula>XEU604&gt;0</formula>
    </cfRule>
    <cfRule type="cellIs" dxfId="874" priority="1314" operator="greaterThan">
      <formula>0</formula>
    </cfRule>
  </conditionalFormatting>
  <conditionalFormatting sqref="E604:E613">
    <cfRule type="expression" dxfId="873" priority="1309">
      <formula>XEU604=""</formula>
    </cfRule>
    <cfRule type="expression" priority="1310">
      <formula>XEU604&gt;0</formula>
    </cfRule>
    <cfRule type="cellIs" dxfId="872" priority="1311" operator="greaterThan">
      <formula>0</formula>
    </cfRule>
  </conditionalFormatting>
  <conditionalFormatting sqref="E604:E613">
    <cfRule type="expression" dxfId="871" priority="1306">
      <formula>XEU604=""</formula>
    </cfRule>
    <cfRule type="expression" priority="1307">
      <formula>XEU604&gt;0</formula>
    </cfRule>
    <cfRule type="cellIs" dxfId="870" priority="1308" operator="greaterThan">
      <formula>0</formula>
    </cfRule>
  </conditionalFormatting>
  <conditionalFormatting sqref="E604:E613">
    <cfRule type="expression" dxfId="869" priority="1303">
      <formula>XEU604=""</formula>
    </cfRule>
    <cfRule type="expression" priority="1304">
      <formula>XEU604&gt;0</formula>
    </cfRule>
    <cfRule type="cellIs" dxfId="868" priority="1305" operator="greaterThan">
      <formula>0</formula>
    </cfRule>
  </conditionalFormatting>
  <conditionalFormatting sqref="E604:E613">
    <cfRule type="expression" dxfId="867" priority="1300">
      <formula>XEU604=""</formula>
    </cfRule>
    <cfRule type="expression" priority="1301">
      <formula>XEU604&gt;0</formula>
    </cfRule>
    <cfRule type="cellIs" dxfId="866" priority="1302" operator="greaterThan">
      <formula>0</formula>
    </cfRule>
  </conditionalFormatting>
  <conditionalFormatting sqref="E604:E613">
    <cfRule type="expression" dxfId="865" priority="1297">
      <formula>XEU604=""</formula>
    </cfRule>
    <cfRule type="expression" priority="1298">
      <formula>XEU604&gt;0</formula>
    </cfRule>
    <cfRule type="cellIs" dxfId="864" priority="1299" operator="greaterThan">
      <formula>0</formula>
    </cfRule>
  </conditionalFormatting>
  <conditionalFormatting sqref="E604:E613">
    <cfRule type="expression" dxfId="863" priority="1294">
      <formula>XEU604=""</formula>
    </cfRule>
    <cfRule type="expression" priority="1295">
      <formula>XEU604&gt;0</formula>
    </cfRule>
    <cfRule type="cellIs" dxfId="862" priority="1296" operator="greaterThan">
      <formula>0</formula>
    </cfRule>
  </conditionalFormatting>
  <conditionalFormatting sqref="E604:E613">
    <cfRule type="expression" dxfId="861" priority="1291">
      <formula>XEU604=""</formula>
    </cfRule>
    <cfRule type="expression" priority="1292">
      <formula>XEU604&gt;0</formula>
    </cfRule>
    <cfRule type="cellIs" dxfId="860" priority="1293" operator="greaterThan">
      <formula>0</formula>
    </cfRule>
  </conditionalFormatting>
  <conditionalFormatting sqref="E604:E613">
    <cfRule type="expression" dxfId="859" priority="1288">
      <formula>XEU604=""</formula>
    </cfRule>
    <cfRule type="expression" priority="1289">
      <formula>XEU604&gt;0</formula>
    </cfRule>
    <cfRule type="cellIs" dxfId="858" priority="1290" operator="greaterThan">
      <formula>0</formula>
    </cfRule>
  </conditionalFormatting>
  <conditionalFormatting sqref="E604:E613">
    <cfRule type="expression" dxfId="857" priority="1285">
      <formula>XEU604=""</formula>
    </cfRule>
    <cfRule type="expression" priority="1286">
      <formula>XEU604&gt;0</formula>
    </cfRule>
    <cfRule type="cellIs" dxfId="856" priority="1287" operator="greaterThan">
      <formula>0</formula>
    </cfRule>
  </conditionalFormatting>
  <conditionalFormatting sqref="E604:E613">
    <cfRule type="expression" dxfId="855" priority="1282">
      <formula>XEU604=""</formula>
    </cfRule>
    <cfRule type="expression" priority="1283">
      <formula>XEU604&gt;0</formula>
    </cfRule>
    <cfRule type="cellIs" dxfId="854" priority="1284" operator="greaterThan">
      <formula>0</formula>
    </cfRule>
  </conditionalFormatting>
  <conditionalFormatting sqref="E604:E613">
    <cfRule type="expression" dxfId="853" priority="1279">
      <formula>XEU604=""</formula>
    </cfRule>
    <cfRule type="expression" priority="1280">
      <formula>XEU604&gt;0</formula>
    </cfRule>
    <cfRule type="cellIs" dxfId="852" priority="1281" operator="greaterThan">
      <formula>0</formula>
    </cfRule>
  </conditionalFormatting>
  <conditionalFormatting sqref="E604:E613">
    <cfRule type="expression" dxfId="851" priority="1276">
      <formula>XEU604=""</formula>
    </cfRule>
    <cfRule type="expression" priority="1277">
      <formula>XEU604&gt;0</formula>
    </cfRule>
    <cfRule type="cellIs" dxfId="850" priority="1278" operator="greaterThan">
      <formula>0</formula>
    </cfRule>
  </conditionalFormatting>
  <conditionalFormatting sqref="E604:E613">
    <cfRule type="expression" dxfId="849" priority="1273">
      <formula>XEU604=""</formula>
    </cfRule>
    <cfRule type="expression" priority="1274">
      <formula>XEU604&gt;0</formula>
    </cfRule>
    <cfRule type="cellIs" dxfId="848" priority="1275" operator="greaterThan">
      <formula>0</formula>
    </cfRule>
  </conditionalFormatting>
  <conditionalFormatting sqref="E604:E613">
    <cfRule type="expression" dxfId="847" priority="1270">
      <formula>XEU604=""</formula>
    </cfRule>
    <cfRule type="expression" priority="1271">
      <formula>XEU604&gt;0</formula>
    </cfRule>
    <cfRule type="cellIs" dxfId="846" priority="1272" operator="greaterThan">
      <formula>0</formula>
    </cfRule>
  </conditionalFormatting>
  <conditionalFormatting sqref="E604:E613">
    <cfRule type="expression" dxfId="845" priority="1267">
      <formula>XEU604=""</formula>
    </cfRule>
    <cfRule type="expression" priority="1268">
      <formula>XEU604&gt;0</formula>
    </cfRule>
    <cfRule type="cellIs" dxfId="844" priority="1269" operator="greaterThan">
      <formula>0</formula>
    </cfRule>
  </conditionalFormatting>
  <conditionalFormatting sqref="E604:E613">
    <cfRule type="expression" dxfId="843" priority="1264">
      <formula>XEU604=""</formula>
    </cfRule>
    <cfRule type="expression" priority="1265">
      <formula>XEU604&gt;0</formula>
    </cfRule>
    <cfRule type="cellIs" dxfId="842" priority="1266" operator="greaterThan">
      <formula>0</formula>
    </cfRule>
  </conditionalFormatting>
  <conditionalFormatting sqref="E604:E613">
    <cfRule type="expression" dxfId="841" priority="1261">
      <formula>XEU604=""</formula>
    </cfRule>
    <cfRule type="expression" priority="1262">
      <formula>XEU604&gt;0</formula>
    </cfRule>
    <cfRule type="cellIs" dxfId="840" priority="1263" operator="greaterThan">
      <formula>0</formula>
    </cfRule>
  </conditionalFormatting>
  <conditionalFormatting sqref="E604:E613">
    <cfRule type="expression" dxfId="839" priority="1258">
      <formula>XEU604=""</formula>
    </cfRule>
    <cfRule type="expression" priority="1259">
      <formula>XEU604&gt;0</formula>
    </cfRule>
    <cfRule type="cellIs" dxfId="838" priority="1260" operator="greaterThan">
      <formula>0</formula>
    </cfRule>
  </conditionalFormatting>
  <conditionalFormatting sqref="E604:E613">
    <cfRule type="expression" dxfId="837" priority="1255">
      <formula>XEU604=""</formula>
    </cfRule>
    <cfRule type="expression" priority="1256">
      <formula>XEU604&gt;0</formula>
    </cfRule>
    <cfRule type="cellIs" dxfId="836" priority="1257" operator="greaterThan">
      <formula>0</formula>
    </cfRule>
  </conditionalFormatting>
  <conditionalFormatting sqref="E604:E613">
    <cfRule type="expression" dxfId="835" priority="1252">
      <formula>XEU604=""</formula>
    </cfRule>
    <cfRule type="expression" priority="1253">
      <formula>XEU604&gt;0</formula>
    </cfRule>
    <cfRule type="cellIs" dxfId="834" priority="1254" operator="greaterThan">
      <formula>0</formula>
    </cfRule>
  </conditionalFormatting>
  <conditionalFormatting sqref="E604:E613">
    <cfRule type="expression" dxfId="833" priority="1249">
      <formula>XEU604=""</formula>
    </cfRule>
    <cfRule type="expression" priority="1250">
      <formula>XEU604&gt;0</formula>
    </cfRule>
    <cfRule type="cellIs" dxfId="832" priority="1251" operator="greaterThan">
      <formula>0</formula>
    </cfRule>
  </conditionalFormatting>
  <conditionalFormatting sqref="E604:E613">
    <cfRule type="expression" dxfId="831" priority="1246">
      <formula>XEU604=""</formula>
    </cfRule>
    <cfRule type="expression" priority="1247">
      <formula>XEU604&gt;0</formula>
    </cfRule>
    <cfRule type="cellIs" dxfId="830" priority="1248" operator="greaterThan">
      <formula>0</formula>
    </cfRule>
  </conditionalFormatting>
  <conditionalFormatting sqref="E604:E613">
    <cfRule type="expression" dxfId="829" priority="1243">
      <formula>XEU604=""</formula>
    </cfRule>
    <cfRule type="expression" priority="1244">
      <formula>XEU604&gt;0</formula>
    </cfRule>
    <cfRule type="cellIs" dxfId="828" priority="1245" operator="greaterThan">
      <formula>0</formula>
    </cfRule>
  </conditionalFormatting>
  <conditionalFormatting sqref="E604:E613">
    <cfRule type="expression" dxfId="827" priority="1240">
      <formula>XEU604=""</formula>
    </cfRule>
    <cfRule type="expression" priority="1241">
      <formula>XEU604&gt;0</formula>
    </cfRule>
    <cfRule type="cellIs" dxfId="826" priority="1242" operator="greaterThan">
      <formula>0</formula>
    </cfRule>
  </conditionalFormatting>
  <conditionalFormatting sqref="E604:E613">
    <cfRule type="expression" dxfId="825" priority="1237">
      <formula>XEU604=""</formula>
    </cfRule>
    <cfRule type="expression" priority="1238">
      <formula>XEU604&gt;0</formula>
    </cfRule>
    <cfRule type="cellIs" dxfId="824" priority="1239" operator="greaterThan">
      <formula>0</formula>
    </cfRule>
  </conditionalFormatting>
  <conditionalFormatting sqref="E604:E613">
    <cfRule type="expression" dxfId="823" priority="1234">
      <formula>XEU604=""</formula>
    </cfRule>
    <cfRule type="expression" priority="1235">
      <formula>XEU604&gt;0</formula>
    </cfRule>
    <cfRule type="cellIs" dxfId="822" priority="1236" operator="greaterThan">
      <formula>0</formula>
    </cfRule>
  </conditionalFormatting>
  <conditionalFormatting sqref="E604:E613">
    <cfRule type="expression" dxfId="821" priority="1231">
      <formula>XEU604=""</formula>
    </cfRule>
    <cfRule type="expression" priority="1232">
      <formula>XEU604&gt;0</formula>
    </cfRule>
    <cfRule type="cellIs" dxfId="820" priority="1233" operator="greaterThan">
      <formula>0</formula>
    </cfRule>
  </conditionalFormatting>
  <conditionalFormatting sqref="E604:E613">
    <cfRule type="expression" dxfId="819" priority="1228">
      <formula>XEU604=""</formula>
    </cfRule>
    <cfRule type="expression" priority="1229">
      <formula>XEU604&gt;0</formula>
    </cfRule>
    <cfRule type="cellIs" dxfId="818" priority="1230" operator="greaterThan">
      <formula>0</formula>
    </cfRule>
  </conditionalFormatting>
  <conditionalFormatting sqref="E604:E613">
    <cfRule type="expression" dxfId="817" priority="1225">
      <formula>XEU604=""</formula>
    </cfRule>
    <cfRule type="expression" priority="1226">
      <formula>XEU604&gt;0</formula>
    </cfRule>
    <cfRule type="cellIs" dxfId="816" priority="1227" operator="greaterThan">
      <formula>0</formula>
    </cfRule>
  </conditionalFormatting>
  <conditionalFormatting sqref="E604:E613">
    <cfRule type="expression" dxfId="815" priority="1222">
      <formula>XEU604=""</formula>
    </cfRule>
    <cfRule type="expression" priority="1223">
      <formula>XEU604&gt;0</formula>
    </cfRule>
    <cfRule type="cellIs" dxfId="814" priority="1224" operator="greaterThan">
      <formula>0</formula>
    </cfRule>
  </conditionalFormatting>
  <conditionalFormatting sqref="E604:E613">
    <cfRule type="expression" dxfId="813" priority="1219">
      <formula>XEU604=""</formula>
    </cfRule>
    <cfRule type="expression" priority="1220">
      <formula>XEU604&gt;0</formula>
    </cfRule>
    <cfRule type="cellIs" dxfId="812" priority="1221" operator="greaterThan">
      <formula>0</formula>
    </cfRule>
  </conditionalFormatting>
  <conditionalFormatting sqref="E604:E613">
    <cfRule type="expression" dxfId="811" priority="1216">
      <formula>XEU604=""</formula>
    </cfRule>
    <cfRule type="expression" priority="1217">
      <formula>XEU604&gt;0</formula>
    </cfRule>
    <cfRule type="cellIs" dxfId="810" priority="1218" operator="greaterThan">
      <formula>0</formula>
    </cfRule>
  </conditionalFormatting>
  <conditionalFormatting sqref="E604:E613">
    <cfRule type="expression" dxfId="809" priority="1213">
      <formula>XEU604=""</formula>
    </cfRule>
    <cfRule type="expression" priority="1214">
      <formula>XEU604&gt;0</formula>
    </cfRule>
    <cfRule type="cellIs" dxfId="808" priority="1215" operator="greaterThan">
      <formula>0</formula>
    </cfRule>
  </conditionalFormatting>
  <conditionalFormatting sqref="E604:E613">
    <cfRule type="expression" dxfId="807" priority="1210">
      <formula>XEU604=""</formula>
    </cfRule>
    <cfRule type="expression" priority="1211">
      <formula>XEU604&gt;0</formula>
    </cfRule>
    <cfRule type="cellIs" dxfId="806" priority="1212" operator="greaterThan">
      <formula>0</formula>
    </cfRule>
  </conditionalFormatting>
  <conditionalFormatting sqref="E604:E613">
    <cfRule type="expression" dxfId="805" priority="1207">
      <formula>XEU604=""</formula>
    </cfRule>
    <cfRule type="expression" priority="1208">
      <formula>XEU604&gt;0</formula>
    </cfRule>
    <cfRule type="cellIs" dxfId="804" priority="1209" operator="greaterThan">
      <formula>0</formula>
    </cfRule>
  </conditionalFormatting>
  <conditionalFormatting sqref="E604:E613">
    <cfRule type="expression" dxfId="803" priority="1204">
      <formula>XEU604=""</formula>
    </cfRule>
    <cfRule type="expression" priority="1205">
      <formula>XEU604&gt;0</formula>
    </cfRule>
    <cfRule type="cellIs" dxfId="802" priority="1206" operator="greaterThan">
      <formula>0</formula>
    </cfRule>
  </conditionalFormatting>
  <conditionalFormatting sqref="E604:E613">
    <cfRule type="expression" dxfId="801" priority="1201">
      <formula>XEU604=""</formula>
    </cfRule>
    <cfRule type="expression" priority="1202">
      <formula>XEU604&gt;0</formula>
    </cfRule>
    <cfRule type="cellIs" dxfId="800" priority="1203" operator="greaterThan">
      <formula>0</formula>
    </cfRule>
  </conditionalFormatting>
  <conditionalFormatting sqref="E604:E613">
    <cfRule type="expression" dxfId="799" priority="1198">
      <formula>XEU604=""</formula>
    </cfRule>
    <cfRule type="expression" priority="1199">
      <formula>XEU604&gt;0</formula>
    </cfRule>
    <cfRule type="cellIs" dxfId="798" priority="1200" operator="greaterThan">
      <formula>0</formula>
    </cfRule>
  </conditionalFormatting>
  <conditionalFormatting sqref="E604:E613">
    <cfRule type="expression" dxfId="797" priority="1195">
      <formula>XEU604=""</formula>
    </cfRule>
    <cfRule type="expression" priority="1196">
      <formula>XEU604&gt;0</formula>
    </cfRule>
    <cfRule type="cellIs" dxfId="796" priority="1197" operator="greaterThan">
      <formula>0</formula>
    </cfRule>
  </conditionalFormatting>
  <conditionalFormatting sqref="E604:E613">
    <cfRule type="expression" dxfId="795" priority="1192">
      <formula>XEU604=""</formula>
    </cfRule>
    <cfRule type="expression" priority="1193">
      <formula>XEU604&gt;0</formula>
    </cfRule>
    <cfRule type="cellIs" dxfId="794" priority="1194" operator="greaterThan">
      <formula>0</formula>
    </cfRule>
  </conditionalFormatting>
  <conditionalFormatting sqref="E604:E613">
    <cfRule type="expression" dxfId="793" priority="1189">
      <formula>XEU604=""</formula>
    </cfRule>
    <cfRule type="expression" priority="1190">
      <formula>XEU604&gt;0</formula>
    </cfRule>
    <cfRule type="cellIs" dxfId="792" priority="1191" operator="greaterThan">
      <formula>0</formula>
    </cfRule>
  </conditionalFormatting>
  <conditionalFormatting sqref="E604:E613">
    <cfRule type="expression" dxfId="791" priority="1186">
      <formula>XEU604=""</formula>
    </cfRule>
    <cfRule type="expression" priority="1187">
      <formula>XEU604&gt;0</formula>
    </cfRule>
    <cfRule type="cellIs" dxfId="790" priority="1188" operator="greaterThan">
      <formula>0</formula>
    </cfRule>
  </conditionalFormatting>
  <conditionalFormatting sqref="E604:E613">
    <cfRule type="expression" dxfId="789" priority="1183">
      <formula>XEU604=""</formula>
    </cfRule>
    <cfRule type="expression" priority="1184">
      <formula>XEU604&gt;0</formula>
    </cfRule>
    <cfRule type="cellIs" dxfId="788" priority="1185" operator="greaterThan">
      <formula>0</formula>
    </cfRule>
  </conditionalFormatting>
  <conditionalFormatting sqref="E604:E613">
    <cfRule type="expression" dxfId="787" priority="1180">
      <formula>XEU604=""</formula>
    </cfRule>
    <cfRule type="expression" priority="1181">
      <formula>XEU604&gt;0</formula>
    </cfRule>
    <cfRule type="cellIs" dxfId="786" priority="1182" operator="greaterThan">
      <formula>0</formula>
    </cfRule>
  </conditionalFormatting>
  <conditionalFormatting sqref="E604:E613">
    <cfRule type="expression" dxfId="785" priority="1177">
      <formula>XEU604=""</formula>
    </cfRule>
    <cfRule type="expression" priority="1178">
      <formula>XEU604&gt;0</formula>
    </cfRule>
    <cfRule type="cellIs" dxfId="784" priority="1179" operator="greaterThan">
      <formula>0</formula>
    </cfRule>
  </conditionalFormatting>
  <conditionalFormatting sqref="E604:E613">
    <cfRule type="expression" dxfId="783" priority="1174">
      <formula>XEU604=""</formula>
    </cfRule>
    <cfRule type="expression" priority="1175">
      <formula>XEU604&gt;0</formula>
    </cfRule>
    <cfRule type="cellIs" dxfId="782" priority="1176" operator="greaterThan">
      <formula>0</formula>
    </cfRule>
  </conditionalFormatting>
  <conditionalFormatting sqref="E604:E613">
    <cfRule type="expression" dxfId="781" priority="1171">
      <formula>XEU604=""</formula>
    </cfRule>
    <cfRule type="expression" priority="1172">
      <formula>XEU604&gt;0</formula>
    </cfRule>
    <cfRule type="cellIs" dxfId="780" priority="1173" operator="greaterThan">
      <formula>0</formula>
    </cfRule>
  </conditionalFormatting>
  <conditionalFormatting sqref="E604:E613">
    <cfRule type="expression" dxfId="779" priority="1168">
      <formula>XEU604=""</formula>
    </cfRule>
    <cfRule type="expression" priority="1169">
      <formula>XEU604&gt;0</formula>
    </cfRule>
    <cfRule type="cellIs" dxfId="778" priority="1170" operator="greaterThan">
      <formula>0</formula>
    </cfRule>
  </conditionalFormatting>
  <conditionalFormatting sqref="E604:E613">
    <cfRule type="expression" dxfId="777" priority="1165">
      <formula>XEU604=""</formula>
    </cfRule>
    <cfRule type="expression" priority="1166">
      <formula>XEU604&gt;0</formula>
    </cfRule>
    <cfRule type="cellIs" dxfId="776" priority="1167" operator="greaterThan">
      <formula>0</formula>
    </cfRule>
  </conditionalFormatting>
  <conditionalFormatting sqref="E604:E613">
    <cfRule type="expression" dxfId="775" priority="1162">
      <formula>XEU604=""</formula>
    </cfRule>
    <cfRule type="expression" priority="1163">
      <formula>XEU604&gt;0</formula>
    </cfRule>
    <cfRule type="cellIs" dxfId="774" priority="1164" operator="greaterThan">
      <formula>0</formula>
    </cfRule>
  </conditionalFormatting>
  <conditionalFormatting sqref="E604:E613">
    <cfRule type="expression" dxfId="773" priority="1159">
      <formula>XEU604=""</formula>
    </cfRule>
    <cfRule type="expression" priority="1160">
      <formula>XEU604&gt;0</formula>
    </cfRule>
    <cfRule type="cellIs" dxfId="772" priority="1161" operator="greaterThan">
      <formula>0</formula>
    </cfRule>
  </conditionalFormatting>
  <conditionalFormatting sqref="F604:F613">
    <cfRule type="expression" dxfId="771" priority="1156">
      <formula>XEV604=""</formula>
    </cfRule>
    <cfRule type="expression" priority="1157">
      <formula>XEV604&gt;0</formula>
    </cfRule>
    <cfRule type="cellIs" dxfId="770" priority="1158" operator="greaterThan">
      <formula>0</formula>
    </cfRule>
  </conditionalFormatting>
  <conditionalFormatting sqref="F604:F613">
    <cfRule type="expression" dxfId="769" priority="1153">
      <formula>XEV604=""</formula>
    </cfRule>
    <cfRule type="expression" priority="1154">
      <formula>XEV604&gt;0</formula>
    </cfRule>
    <cfRule type="cellIs" dxfId="768" priority="1155" operator="greaterThan">
      <formula>0</formula>
    </cfRule>
  </conditionalFormatting>
  <conditionalFormatting sqref="F604:F613">
    <cfRule type="expression" dxfId="767" priority="1150">
      <formula>XEV604=""</formula>
    </cfRule>
    <cfRule type="expression" priority="1151">
      <formula>XEV604&gt;0</formula>
    </cfRule>
    <cfRule type="cellIs" dxfId="766" priority="1152" operator="greaterThan">
      <formula>0</formula>
    </cfRule>
  </conditionalFormatting>
  <conditionalFormatting sqref="F604:F613">
    <cfRule type="expression" dxfId="765" priority="1147">
      <formula>XEV604=""</formula>
    </cfRule>
    <cfRule type="expression" priority="1148">
      <formula>XEV604&gt;0</formula>
    </cfRule>
    <cfRule type="cellIs" dxfId="764" priority="1149" operator="greaterThan">
      <formula>0</formula>
    </cfRule>
  </conditionalFormatting>
  <conditionalFormatting sqref="F604:F613">
    <cfRule type="expression" dxfId="763" priority="1144">
      <formula>XEV604=""</formula>
    </cfRule>
    <cfRule type="expression" priority="1145">
      <formula>XEV604&gt;0</formula>
    </cfRule>
    <cfRule type="cellIs" dxfId="762" priority="1146" operator="greaterThan">
      <formula>0</formula>
    </cfRule>
  </conditionalFormatting>
  <conditionalFormatting sqref="F604:F613">
    <cfRule type="expression" dxfId="761" priority="1141">
      <formula>XEV604=""</formula>
    </cfRule>
    <cfRule type="expression" priority="1142">
      <formula>XEV604&gt;0</formula>
    </cfRule>
    <cfRule type="cellIs" dxfId="760" priority="1143" operator="greaterThan">
      <formula>0</formula>
    </cfRule>
  </conditionalFormatting>
  <conditionalFormatting sqref="F604:F613">
    <cfRule type="expression" dxfId="759" priority="1138">
      <formula>XEV604=""</formula>
    </cfRule>
    <cfRule type="expression" priority="1139">
      <formula>XEV604&gt;0</formula>
    </cfRule>
    <cfRule type="cellIs" dxfId="758" priority="1140" operator="greaterThan">
      <formula>0</formula>
    </cfRule>
  </conditionalFormatting>
  <conditionalFormatting sqref="F604:F613">
    <cfRule type="expression" dxfId="757" priority="1135">
      <formula>XEV604=""</formula>
    </cfRule>
    <cfRule type="expression" priority="1136">
      <formula>XEV604&gt;0</formula>
    </cfRule>
    <cfRule type="cellIs" dxfId="756" priority="1137" operator="greaterThan">
      <formula>0</formula>
    </cfRule>
  </conditionalFormatting>
  <conditionalFormatting sqref="F604:F613">
    <cfRule type="expression" dxfId="755" priority="1132">
      <formula>XEV604=""</formula>
    </cfRule>
    <cfRule type="expression" priority="1133">
      <formula>XEV604&gt;0</formula>
    </cfRule>
    <cfRule type="cellIs" dxfId="754" priority="1134" operator="greaterThan">
      <formula>0</formula>
    </cfRule>
  </conditionalFormatting>
  <conditionalFormatting sqref="F604:F613">
    <cfRule type="expression" dxfId="753" priority="1129">
      <formula>XEV604=""</formula>
    </cfRule>
    <cfRule type="expression" priority="1130">
      <formula>XEV604&gt;0</formula>
    </cfRule>
    <cfRule type="cellIs" dxfId="752" priority="1131" operator="greaterThan">
      <formula>0</formula>
    </cfRule>
  </conditionalFormatting>
  <conditionalFormatting sqref="F604:F613">
    <cfRule type="expression" dxfId="751" priority="1126">
      <formula>XEV604=""</formula>
    </cfRule>
    <cfRule type="expression" priority="1127">
      <formula>XEV604&gt;0</formula>
    </cfRule>
    <cfRule type="cellIs" dxfId="750" priority="1128" operator="greaterThan">
      <formula>0</formula>
    </cfRule>
  </conditionalFormatting>
  <conditionalFormatting sqref="F604:F613">
    <cfRule type="expression" dxfId="749" priority="1123">
      <formula>XEV604=""</formula>
    </cfRule>
    <cfRule type="expression" priority="1124">
      <formula>XEV604&gt;0</formula>
    </cfRule>
    <cfRule type="cellIs" dxfId="748" priority="1125" operator="greaterThan">
      <formula>0</formula>
    </cfRule>
  </conditionalFormatting>
  <conditionalFormatting sqref="F604:F613">
    <cfRule type="expression" dxfId="747" priority="1120">
      <formula>XEV604=""</formula>
    </cfRule>
    <cfRule type="expression" priority="1121">
      <formula>XEV604&gt;0</formula>
    </cfRule>
    <cfRule type="cellIs" dxfId="746" priority="1122" operator="greaterThan">
      <formula>0</formula>
    </cfRule>
  </conditionalFormatting>
  <conditionalFormatting sqref="F604:F613">
    <cfRule type="expression" dxfId="745" priority="1117">
      <formula>XEV604=""</formula>
    </cfRule>
    <cfRule type="expression" priority="1118">
      <formula>XEV604&gt;0</formula>
    </cfRule>
    <cfRule type="cellIs" dxfId="744" priority="1119" operator="greaterThan">
      <formula>0</formula>
    </cfRule>
  </conditionalFormatting>
  <conditionalFormatting sqref="F604:F613">
    <cfRule type="expression" dxfId="743" priority="1114">
      <formula>XEV604=""</formula>
    </cfRule>
    <cfRule type="expression" priority="1115">
      <formula>XEV604&gt;0</formula>
    </cfRule>
    <cfRule type="cellIs" dxfId="742" priority="1116" operator="greaterThan">
      <formula>0</formula>
    </cfRule>
  </conditionalFormatting>
  <conditionalFormatting sqref="F604:F613">
    <cfRule type="expression" dxfId="741" priority="1111">
      <formula>XEV604=""</formula>
    </cfRule>
    <cfRule type="expression" priority="1112">
      <formula>XEV604&gt;0</formula>
    </cfRule>
    <cfRule type="cellIs" dxfId="740" priority="1113" operator="greaterThan">
      <formula>0</formula>
    </cfRule>
  </conditionalFormatting>
  <conditionalFormatting sqref="F604:F613">
    <cfRule type="expression" dxfId="739" priority="1108">
      <formula>XEV604=""</formula>
    </cfRule>
    <cfRule type="expression" priority="1109">
      <formula>XEV604&gt;0</formula>
    </cfRule>
    <cfRule type="cellIs" dxfId="738" priority="1110" operator="greaterThan">
      <formula>0</formula>
    </cfRule>
  </conditionalFormatting>
  <conditionalFormatting sqref="F604:F613">
    <cfRule type="expression" dxfId="737" priority="1105">
      <formula>XEV604=""</formula>
    </cfRule>
    <cfRule type="expression" priority="1106">
      <formula>XEV604&gt;0</formula>
    </cfRule>
    <cfRule type="cellIs" dxfId="736" priority="1107" operator="greaterThan">
      <formula>0</formula>
    </cfRule>
  </conditionalFormatting>
  <conditionalFormatting sqref="F604:F613">
    <cfRule type="expression" dxfId="735" priority="1102">
      <formula>XEV604=""</formula>
    </cfRule>
    <cfRule type="expression" priority="1103">
      <formula>XEV604&gt;0</formula>
    </cfRule>
    <cfRule type="cellIs" dxfId="734" priority="1104" operator="greaterThan">
      <formula>0</formula>
    </cfRule>
  </conditionalFormatting>
  <conditionalFormatting sqref="F604:F613">
    <cfRule type="expression" dxfId="733" priority="1099">
      <formula>XEV604=""</formula>
    </cfRule>
    <cfRule type="expression" priority="1100">
      <formula>XEV604&gt;0</formula>
    </cfRule>
    <cfRule type="cellIs" dxfId="732" priority="1101" operator="greaterThan">
      <formula>0</formula>
    </cfRule>
  </conditionalFormatting>
  <conditionalFormatting sqref="F604:F613">
    <cfRule type="expression" dxfId="731" priority="1096">
      <formula>XEV604=""</formula>
    </cfRule>
    <cfRule type="expression" priority="1097">
      <formula>XEV604&gt;0</formula>
    </cfRule>
    <cfRule type="cellIs" dxfId="730" priority="1098" operator="greaterThan">
      <formula>0</formula>
    </cfRule>
  </conditionalFormatting>
  <conditionalFormatting sqref="F604:F613">
    <cfRule type="expression" dxfId="729" priority="1093">
      <formula>XEV604=""</formula>
    </cfRule>
    <cfRule type="expression" priority="1094">
      <formula>XEV604&gt;0</formula>
    </cfRule>
    <cfRule type="cellIs" dxfId="728" priority="1095" operator="greaterThan">
      <formula>0</formula>
    </cfRule>
  </conditionalFormatting>
  <conditionalFormatting sqref="F604:F613">
    <cfRule type="expression" dxfId="727" priority="1090">
      <formula>XEV604=""</formula>
    </cfRule>
    <cfRule type="expression" priority="1091">
      <formula>XEV604&gt;0</formula>
    </cfRule>
    <cfRule type="cellIs" dxfId="726" priority="1092" operator="greaterThan">
      <formula>0</formula>
    </cfRule>
  </conditionalFormatting>
  <conditionalFormatting sqref="F604:F613">
    <cfRule type="expression" dxfId="725" priority="1087">
      <formula>XEV604=""</formula>
    </cfRule>
    <cfRule type="expression" priority="1088">
      <formula>XEV604&gt;0</formula>
    </cfRule>
    <cfRule type="cellIs" dxfId="724" priority="1089" operator="greaterThan">
      <formula>0</formula>
    </cfRule>
  </conditionalFormatting>
  <conditionalFormatting sqref="F604:F613">
    <cfRule type="expression" dxfId="723" priority="1084">
      <formula>XEV604=""</formula>
    </cfRule>
    <cfRule type="expression" priority="1085">
      <formula>XEV604&gt;0</formula>
    </cfRule>
    <cfRule type="cellIs" dxfId="722" priority="1086" operator="greaterThan">
      <formula>0</formula>
    </cfRule>
  </conditionalFormatting>
  <conditionalFormatting sqref="F604:F613">
    <cfRule type="expression" dxfId="721" priority="1081">
      <formula>XEV604=""</formula>
    </cfRule>
    <cfRule type="expression" priority="1082">
      <formula>XEV604&gt;0</formula>
    </cfRule>
    <cfRule type="cellIs" dxfId="720" priority="1083" operator="greaterThan">
      <formula>0</formula>
    </cfRule>
  </conditionalFormatting>
  <conditionalFormatting sqref="F604:F613">
    <cfRule type="expression" dxfId="719" priority="1078">
      <formula>XEV604=""</formula>
    </cfRule>
    <cfRule type="expression" priority="1079">
      <formula>XEV604&gt;0</formula>
    </cfRule>
    <cfRule type="cellIs" dxfId="718" priority="1080" operator="greaterThan">
      <formula>0</formula>
    </cfRule>
  </conditionalFormatting>
  <conditionalFormatting sqref="F604:F613">
    <cfRule type="expression" dxfId="717" priority="1075">
      <formula>XEV604=""</formula>
    </cfRule>
    <cfRule type="expression" priority="1076">
      <formula>XEV604&gt;0</formula>
    </cfRule>
    <cfRule type="cellIs" dxfId="716" priority="1077" operator="greaterThan">
      <formula>0</formula>
    </cfRule>
  </conditionalFormatting>
  <conditionalFormatting sqref="F604:F613">
    <cfRule type="expression" dxfId="715" priority="1072">
      <formula>XEV604=""</formula>
    </cfRule>
    <cfRule type="expression" priority="1073">
      <formula>XEV604&gt;0</formula>
    </cfRule>
    <cfRule type="cellIs" dxfId="714" priority="1074" operator="greaterThan">
      <formula>0</formula>
    </cfRule>
  </conditionalFormatting>
  <conditionalFormatting sqref="F604:F613">
    <cfRule type="expression" dxfId="713" priority="1069">
      <formula>XEV604=""</formula>
    </cfRule>
    <cfRule type="expression" priority="1070">
      <formula>XEV604&gt;0</formula>
    </cfRule>
    <cfRule type="cellIs" dxfId="712" priority="1071" operator="greaterThan">
      <formula>0</formula>
    </cfRule>
  </conditionalFormatting>
  <conditionalFormatting sqref="F604:F613">
    <cfRule type="expression" dxfId="711" priority="1066">
      <formula>XEV604=""</formula>
    </cfRule>
    <cfRule type="expression" priority="1067">
      <formula>XEV604&gt;0</formula>
    </cfRule>
    <cfRule type="cellIs" dxfId="710" priority="1068" operator="greaterThan">
      <formula>0</formula>
    </cfRule>
  </conditionalFormatting>
  <conditionalFormatting sqref="F604:F613">
    <cfRule type="expression" dxfId="709" priority="1063">
      <formula>XEV604=""</formula>
    </cfRule>
    <cfRule type="expression" priority="1064">
      <formula>XEV604&gt;0</formula>
    </cfRule>
    <cfRule type="cellIs" dxfId="708" priority="1065" operator="greaterThan">
      <formula>0</formula>
    </cfRule>
  </conditionalFormatting>
  <conditionalFormatting sqref="F604:F613">
    <cfRule type="expression" dxfId="707" priority="1060">
      <formula>XEV604=""</formula>
    </cfRule>
    <cfRule type="expression" priority="1061">
      <formula>XEV604&gt;0</formula>
    </cfRule>
    <cfRule type="cellIs" dxfId="706" priority="1062" operator="greaterThan">
      <formula>0</formula>
    </cfRule>
  </conditionalFormatting>
  <conditionalFormatting sqref="F604:F613">
    <cfRule type="expression" dxfId="705" priority="1057">
      <formula>XEV604=""</formula>
    </cfRule>
    <cfRule type="expression" priority="1058">
      <formula>XEV604&gt;0</formula>
    </cfRule>
    <cfRule type="cellIs" dxfId="704" priority="1059" operator="greaterThan">
      <formula>0</formula>
    </cfRule>
  </conditionalFormatting>
  <conditionalFormatting sqref="F604:F613">
    <cfRule type="expression" dxfId="703" priority="1054">
      <formula>XEV604=""</formula>
    </cfRule>
    <cfRule type="expression" priority="1055">
      <formula>XEV604&gt;0</formula>
    </cfRule>
    <cfRule type="cellIs" dxfId="702" priority="1056" operator="greaterThan">
      <formula>0</formula>
    </cfRule>
  </conditionalFormatting>
  <conditionalFormatting sqref="F604:F613">
    <cfRule type="expression" dxfId="701" priority="1051">
      <formula>XEV604=""</formula>
    </cfRule>
    <cfRule type="expression" priority="1052">
      <formula>XEV604&gt;0</formula>
    </cfRule>
    <cfRule type="cellIs" dxfId="700" priority="1053" operator="greaterThan">
      <formula>0</formula>
    </cfRule>
  </conditionalFormatting>
  <conditionalFormatting sqref="F604:F613">
    <cfRule type="expression" dxfId="699" priority="1048">
      <formula>XEV604=""</formula>
    </cfRule>
    <cfRule type="expression" priority="1049">
      <formula>XEV604&gt;0</formula>
    </cfRule>
    <cfRule type="cellIs" dxfId="698" priority="1050" operator="greaterThan">
      <formula>0</formula>
    </cfRule>
  </conditionalFormatting>
  <conditionalFormatting sqref="F604:F613">
    <cfRule type="expression" dxfId="697" priority="1045">
      <formula>XEV604=""</formula>
    </cfRule>
    <cfRule type="expression" priority="1046">
      <formula>XEV604&gt;0</formula>
    </cfRule>
    <cfRule type="cellIs" dxfId="696" priority="1047" operator="greaterThan">
      <formula>0</formula>
    </cfRule>
  </conditionalFormatting>
  <conditionalFormatting sqref="F604:F613">
    <cfRule type="expression" dxfId="695" priority="1042">
      <formula>XEV604=""</formula>
    </cfRule>
    <cfRule type="expression" priority="1043">
      <formula>XEV604&gt;0</formula>
    </cfRule>
    <cfRule type="cellIs" dxfId="694" priority="1044" operator="greaterThan">
      <formula>0</formula>
    </cfRule>
  </conditionalFormatting>
  <conditionalFormatting sqref="F604:F613">
    <cfRule type="expression" dxfId="693" priority="1039">
      <formula>XEV604=""</formula>
    </cfRule>
    <cfRule type="expression" priority="1040">
      <formula>XEV604&gt;0</formula>
    </cfRule>
    <cfRule type="cellIs" dxfId="692" priority="1041" operator="greaterThan">
      <formula>0</formula>
    </cfRule>
  </conditionalFormatting>
  <conditionalFormatting sqref="F604:F613">
    <cfRule type="expression" dxfId="691" priority="1036">
      <formula>XEV604=""</formula>
    </cfRule>
    <cfRule type="expression" priority="1037">
      <formula>XEV604&gt;0</formula>
    </cfRule>
    <cfRule type="cellIs" dxfId="690" priority="1038" operator="greaterThan">
      <formula>0</formula>
    </cfRule>
  </conditionalFormatting>
  <conditionalFormatting sqref="F604:F613">
    <cfRule type="expression" dxfId="689" priority="1033">
      <formula>XEV604=""</formula>
    </cfRule>
    <cfRule type="expression" priority="1034">
      <formula>XEV604&gt;0</formula>
    </cfRule>
    <cfRule type="cellIs" dxfId="688" priority="1035" operator="greaterThan">
      <formula>0</formula>
    </cfRule>
  </conditionalFormatting>
  <conditionalFormatting sqref="F604:F613">
    <cfRule type="expression" dxfId="687" priority="1030">
      <formula>XEV604=""</formula>
    </cfRule>
    <cfRule type="expression" priority="1031">
      <formula>XEV604&gt;0</formula>
    </cfRule>
    <cfRule type="cellIs" dxfId="686" priority="1032" operator="greaterThan">
      <formula>0</formula>
    </cfRule>
  </conditionalFormatting>
  <conditionalFormatting sqref="F604:F613">
    <cfRule type="expression" dxfId="685" priority="1027">
      <formula>XEV604=""</formula>
    </cfRule>
    <cfRule type="expression" priority="1028">
      <formula>XEV604&gt;0</formula>
    </cfRule>
    <cfRule type="cellIs" dxfId="684" priority="1029" operator="greaterThan">
      <formula>0</formula>
    </cfRule>
  </conditionalFormatting>
  <conditionalFormatting sqref="F604:F613">
    <cfRule type="expression" dxfId="683" priority="1024">
      <formula>XEV604=""</formula>
    </cfRule>
    <cfRule type="expression" priority="1025">
      <formula>XEV604&gt;0</formula>
    </cfRule>
    <cfRule type="cellIs" dxfId="682" priority="1026" operator="greaterThan">
      <formula>0</formula>
    </cfRule>
  </conditionalFormatting>
  <conditionalFormatting sqref="F604:F613">
    <cfRule type="expression" dxfId="681" priority="1021">
      <formula>XEV604=""</formula>
    </cfRule>
    <cfRule type="expression" priority="1022">
      <formula>XEV604&gt;0</formula>
    </cfRule>
    <cfRule type="cellIs" dxfId="680" priority="1023" operator="greaterThan">
      <formula>0</formula>
    </cfRule>
  </conditionalFormatting>
  <conditionalFormatting sqref="F604:F613">
    <cfRule type="expression" dxfId="679" priority="1018">
      <formula>XEV604=""</formula>
    </cfRule>
    <cfRule type="expression" priority="1019">
      <formula>XEV604&gt;0</formula>
    </cfRule>
    <cfRule type="cellIs" dxfId="678" priority="1020" operator="greaterThan">
      <formula>0</formula>
    </cfRule>
  </conditionalFormatting>
  <conditionalFormatting sqref="F604:F613">
    <cfRule type="expression" dxfId="677" priority="1015">
      <formula>XEV604=""</formula>
    </cfRule>
    <cfRule type="expression" priority="1016">
      <formula>XEV604&gt;0</formula>
    </cfRule>
    <cfRule type="cellIs" dxfId="676" priority="1017" operator="greaterThan">
      <formula>0</formula>
    </cfRule>
  </conditionalFormatting>
  <conditionalFormatting sqref="F604:F613">
    <cfRule type="expression" dxfId="675" priority="1012">
      <formula>XEV604=""</formula>
    </cfRule>
    <cfRule type="expression" priority="1013">
      <formula>XEV604&gt;0</formula>
    </cfRule>
    <cfRule type="cellIs" dxfId="674" priority="1014" operator="greaterThan">
      <formula>0</formula>
    </cfRule>
  </conditionalFormatting>
  <conditionalFormatting sqref="F604:F613">
    <cfRule type="expression" dxfId="673" priority="1009">
      <formula>XEV604=""</formula>
    </cfRule>
    <cfRule type="expression" priority="1010">
      <formula>XEV604&gt;0</formula>
    </cfRule>
    <cfRule type="cellIs" dxfId="672" priority="1011" operator="greaterThan">
      <formula>0</formula>
    </cfRule>
  </conditionalFormatting>
  <conditionalFormatting sqref="F604:F613">
    <cfRule type="expression" dxfId="671" priority="1006">
      <formula>XEV604=""</formula>
    </cfRule>
    <cfRule type="expression" priority="1007">
      <formula>XEV604&gt;0</formula>
    </cfRule>
    <cfRule type="cellIs" dxfId="670" priority="1008" operator="greaterThan">
      <formula>0</formula>
    </cfRule>
  </conditionalFormatting>
  <conditionalFormatting sqref="F604:F613">
    <cfRule type="expression" dxfId="669" priority="1003">
      <formula>XEV604=""</formula>
    </cfRule>
    <cfRule type="expression" priority="1004">
      <formula>XEV604&gt;0</formula>
    </cfRule>
    <cfRule type="cellIs" dxfId="668" priority="1005" operator="greaterThan">
      <formula>0</formula>
    </cfRule>
  </conditionalFormatting>
  <conditionalFormatting sqref="F604:F613">
    <cfRule type="expression" dxfId="667" priority="1000">
      <formula>XEV604=""</formula>
    </cfRule>
    <cfRule type="expression" priority="1001">
      <formula>XEV604&gt;0</formula>
    </cfRule>
    <cfRule type="cellIs" dxfId="666" priority="1002" operator="greaterThan">
      <formula>0</formula>
    </cfRule>
  </conditionalFormatting>
  <conditionalFormatting sqref="F604:F613">
    <cfRule type="expression" dxfId="665" priority="997">
      <formula>XEV604=""</formula>
    </cfRule>
    <cfRule type="expression" priority="998">
      <formula>XEV604&gt;0</formula>
    </cfRule>
    <cfRule type="cellIs" dxfId="664" priority="999" operator="greaterThan">
      <formula>0</formula>
    </cfRule>
  </conditionalFormatting>
  <conditionalFormatting sqref="F604:F613">
    <cfRule type="expression" dxfId="663" priority="994">
      <formula>XEV604=""</formula>
    </cfRule>
    <cfRule type="expression" priority="995">
      <formula>XEV604&gt;0</formula>
    </cfRule>
    <cfRule type="cellIs" dxfId="662" priority="996" operator="greaterThan">
      <formula>0</formula>
    </cfRule>
  </conditionalFormatting>
  <conditionalFormatting sqref="G604:G613">
    <cfRule type="expression" dxfId="661" priority="991">
      <formula>XEW604=""</formula>
    </cfRule>
    <cfRule type="expression" priority="992">
      <formula>XEW604&gt;0</formula>
    </cfRule>
    <cfRule type="cellIs" dxfId="660" priority="993" operator="greaterThan">
      <formula>0</formula>
    </cfRule>
  </conditionalFormatting>
  <conditionalFormatting sqref="G604:G613">
    <cfRule type="expression" dxfId="659" priority="988">
      <formula>XEW604=""</formula>
    </cfRule>
    <cfRule type="expression" priority="989">
      <formula>XEW604&gt;0</formula>
    </cfRule>
    <cfRule type="cellIs" dxfId="658" priority="990" operator="greaterThan">
      <formula>0</formula>
    </cfRule>
  </conditionalFormatting>
  <conditionalFormatting sqref="G604:G613">
    <cfRule type="expression" dxfId="657" priority="985">
      <formula>XEW604=""</formula>
    </cfRule>
    <cfRule type="expression" priority="986">
      <formula>XEW604&gt;0</formula>
    </cfRule>
    <cfRule type="cellIs" dxfId="656" priority="987" operator="greaterThan">
      <formula>0</formula>
    </cfRule>
  </conditionalFormatting>
  <conditionalFormatting sqref="G604:G613">
    <cfRule type="expression" dxfId="655" priority="982">
      <formula>XEW604=""</formula>
    </cfRule>
    <cfRule type="expression" priority="983">
      <formula>XEW604&gt;0</formula>
    </cfRule>
    <cfRule type="cellIs" dxfId="654" priority="984" operator="greaterThan">
      <formula>0</formula>
    </cfRule>
  </conditionalFormatting>
  <conditionalFormatting sqref="G604:G613">
    <cfRule type="expression" dxfId="653" priority="979">
      <formula>XEW604=""</formula>
    </cfRule>
    <cfRule type="expression" priority="980">
      <formula>XEW604&gt;0</formula>
    </cfRule>
    <cfRule type="cellIs" dxfId="652" priority="981" operator="greaterThan">
      <formula>0</formula>
    </cfRule>
  </conditionalFormatting>
  <conditionalFormatting sqref="G604:G613">
    <cfRule type="expression" dxfId="651" priority="976">
      <formula>XEW604=""</formula>
    </cfRule>
    <cfRule type="expression" priority="977">
      <formula>XEW604&gt;0</formula>
    </cfRule>
    <cfRule type="cellIs" dxfId="650" priority="978" operator="greaterThan">
      <formula>0</formula>
    </cfRule>
  </conditionalFormatting>
  <conditionalFormatting sqref="G604:G613">
    <cfRule type="expression" dxfId="649" priority="973">
      <formula>XEW604=""</formula>
    </cfRule>
    <cfRule type="expression" priority="974">
      <formula>XEW604&gt;0</formula>
    </cfRule>
    <cfRule type="cellIs" dxfId="648" priority="975" operator="greaterThan">
      <formula>0</formula>
    </cfRule>
  </conditionalFormatting>
  <conditionalFormatting sqref="G604:G613">
    <cfRule type="expression" dxfId="647" priority="970">
      <formula>XEW604=""</formula>
    </cfRule>
    <cfRule type="expression" priority="971">
      <formula>XEW604&gt;0</formula>
    </cfRule>
    <cfRule type="cellIs" dxfId="646" priority="972" operator="greaterThan">
      <formula>0</formula>
    </cfRule>
  </conditionalFormatting>
  <conditionalFormatting sqref="G604:G613">
    <cfRule type="expression" dxfId="645" priority="967">
      <formula>XEW604=""</formula>
    </cfRule>
    <cfRule type="expression" priority="968">
      <formula>XEW604&gt;0</formula>
    </cfRule>
    <cfRule type="cellIs" dxfId="644" priority="969" operator="greaterThan">
      <formula>0</formula>
    </cfRule>
  </conditionalFormatting>
  <conditionalFormatting sqref="G604:G613">
    <cfRule type="expression" dxfId="643" priority="964">
      <formula>XEW604=""</formula>
    </cfRule>
    <cfRule type="expression" priority="965">
      <formula>XEW604&gt;0</formula>
    </cfRule>
    <cfRule type="cellIs" dxfId="642" priority="966" operator="greaterThan">
      <formula>0</formula>
    </cfRule>
  </conditionalFormatting>
  <conditionalFormatting sqref="G604:G613">
    <cfRule type="expression" dxfId="641" priority="961">
      <formula>XEW604=""</formula>
    </cfRule>
    <cfRule type="expression" priority="962">
      <formula>XEW604&gt;0</formula>
    </cfRule>
    <cfRule type="cellIs" dxfId="640" priority="963" operator="greaterThan">
      <formula>0</formula>
    </cfRule>
  </conditionalFormatting>
  <conditionalFormatting sqref="G604:G613">
    <cfRule type="expression" dxfId="639" priority="958">
      <formula>XEW604=""</formula>
    </cfRule>
    <cfRule type="expression" priority="959">
      <formula>XEW604&gt;0</formula>
    </cfRule>
    <cfRule type="cellIs" dxfId="638" priority="960" operator="greaterThan">
      <formula>0</formula>
    </cfRule>
  </conditionalFormatting>
  <conditionalFormatting sqref="G604:G613">
    <cfRule type="expression" dxfId="637" priority="955">
      <formula>XEW604=""</formula>
    </cfRule>
    <cfRule type="expression" priority="956">
      <formula>XEW604&gt;0</formula>
    </cfRule>
    <cfRule type="cellIs" dxfId="636" priority="957" operator="greaterThan">
      <formula>0</formula>
    </cfRule>
  </conditionalFormatting>
  <conditionalFormatting sqref="G604:G613">
    <cfRule type="expression" dxfId="635" priority="952">
      <formula>XEW604=""</formula>
    </cfRule>
    <cfRule type="expression" priority="953">
      <formula>XEW604&gt;0</formula>
    </cfRule>
    <cfRule type="cellIs" dxfId="634" priority="954" operator="greaterThan">
      <formula>0</formula>
    </cfRule>
  </conditionalFormatting>
  <conditionalFormatting sqref="G604:G613">
    <cfRule type="expression" dxfId="633" priority="949">
      <formula>XEW604=""</formula>
    </cfRule>
    <cfRule type="expression" priority="950">
      <formula>XEW604&gt;0</formula>
    </cfRule>
    <cfRule type="cellIs" dxfId="632" priority="951" operator="greaterThan">
      <formula>0</formula>
    </cfRule>
  </conditionalFormatting>
  <conditionalFormatting sqref="G604:G613">
    <cfRule type="expression" dxfId="631" priority="946">
      <formula>XEW604=""</formula>
    </cfRule>
    <cfRule type="expression" priority="947">
      <formula>XEW604&gt;0</formula>
    </cfRule>
    <cfRule type="cellIs" dxfId="630" priority="948" operator="greaterThan">
      <formula>0</formula>
    </cfRule>
  </conditionalFormatting>
  <conditionalFormatting sqref="G604:G613">
    <cfRule type="expression" dxfId="629" priority="943">
      <formula>XEW604=""</formula>
    </cfRule>
    <cfRule type="expression" priority="944">
      <formula>XEW604&gt;0</formula>
    </cfRule>
    <cfRule type="cellIs" dxfId="628" priority="945" operator="greaterThan">
      <formula>0</formula>
    </cfRule>
  </conditionalFormatting>
  <conditionalFormatting sqref="G604:G613">
    <cfRule type="expression" dxfId="627" priority="940">
      <formula>XEW604=""</formula>
    </cfRule>
    <cfRule type="expression" priority="941">
      <formula>XEW604&gt;0</formula>
    </cfRule>
    <cfRule type="cellIs" dxfId="626" priority="942" operator="greaterThan">
      <formula>0</formula>
    </cfRule>
  </conditionalFormatting>
  <conditionalFormatting sqref="G604:G613">
    <cfRule type="expression" dxfId="625" priority="937">
      <formula>XEW604=""</formula>
    </cfRule>
    <cfRule type="expression" priority="938">
      <formula>XEW604&gt;0</formula>
    </cfRule>
    <cfRule type="cellIs" dxfId="624" priority="939" operator="greaterThan">
      <formula>0</formula>
    </cfRule>
  </conditionalFormatting>
  <conditionalFormatting sqref="G604:G613">
    <cfRule type="expression" dxfId="623" priority="934">
      <formula>XEW604=""</formula>
    </cfRule>
    <cfRule type="expression" priority="935">
      <formula>XEW604&gt;0</formula>
    </cfRule>
    <cfRule type="cellIs" dxfId="622" priority="936" operator="greaterThan">
      <formula>0</formula>
    </cfRule>
  </conditionalFormatting>
  <conditionalFormatting sqref="G604:G613">
    <cfRule type="expression" dxfId="621" priority="931">
      <formula>XEW604=""</formula>
    </cfRule>
    <cfRule type="expression" priority="932">
      <formula>XEW604&gt;0</formula>
    </cfRule>
    <cfRule type="cellIs" dxfId="620" priority="933" operator="greaterThan">
      <formula>0</formula>
    </cfRule>
  </conditionalFormatting>
  <conditionalFormatting sqref="G604:G613">
    <cfRule type="expression" dxfId="619" priority="928">
      <formula>XEW604=""</formula>
    </cfRule>
    <cfRule type="expression" priority="929">
      <formula>XEW604&gt;0</formula>
    </cfRule>
    <cfRule type="cellIs" dxfId="618" priority="930" operator="greaterThan">
      <formula>0</formula>
    </cfRule>
  </conditionalFormatting>
  <conditionalFormatting sqref="G604:G613">
    <cfRule type="expression" dxfId="617" priority="925">
      <formula>XEW604=""</formula>
    </cfRule>
    <cfRule type="expression" priority="926">
      <formula>XEW604&gt;0</formula>
    </cfRule>
    <cfRule type="cellIs" dxfId="616" priority="927" operator="greaterThan">
      <formula>0</formula>
    </cfRule>
  </conditionalFormatting>
  <conditionalFormatting sqref="G604:G613">
    <cfRule type="expression" dxfId="615" priority="922">
      <formula>XEW604=""</formula>
    </cfRule>
    <cfRule type="expression" priority="923">
      <formula>XEW604&gt;0</formula>
    </cfRule>
    <cfRule type="cellIs" dxfId="614" priority="924" operator="greaterThan">
      <formula>0</formula>
    </cfRule>
  </conditionalFormatting>
  <conditionalFormatting sqref="G604:G613">
    <cfRule type="expression" dxfId="613" priority="919">
      <formula>XEW604=""</formula>
    </cfRule>
    <cfRule type="expression" priority="920">
      <formula>XEW604&gt;0</formula>
    </cfRule>
    <cfRule type="cellIs" dxfId="612" priority="921" operator="greaterThan">
      <formula>0</formula>
    </cfRule>
  </conditionalFormatting>
  <conditionalFormatting sqref="G604:G613">
    <cfRule type="expression" dxfId="611" priority="916">
      <formula>XEW604=""</formula>
    </cfRule>
    <cfRule type="expression" priority="917">
      <formula>XEW604&gt;0</formula>
    </cfRule>
    <cfRule type="cellIs" dxfId="610" priority="918" operator="greaterThan">
      <formula>0</formula>
    </cfRule>
  </conditionalFormatting>
  <conditionalFormatting sqref="G604:G613">
    <cfRule type="expression" dxfId="609" priority="913">
      <formula>XEW604=""</formula>
    </cfRule>
    <cfRule type="expression" priority="914">
      <formula>XEW604&gt;0</formula>
    </cfRule>
    <cfRule type="cellIs" dxfId="608" priority="915" operator="greaterThan">
      <formula>0</formula>
    </cfRule>
  </conditionalFormatting>
  <conditionalFormatting sqref="G604:G613">
    <cfRule type="expression" dxfId="607" priority="910">
      <formula>XEW604=""</formula>
    </cfRule>
    <cfRule type="expression" priority="911">
      <formula>XEW604&gt;0</formula>
    </cfRule>
    <cfRule type="cellIs" dxfId="606" priority="912" operator="greaterThan">
      <formula>0</formula>
    </cfRule>
  </conditionalFormatting>
  <conditionalFormatting sqref="G604:G613">
    <cfRule type="expression" dxfId="605" priority="907">
      <formula>XEW604=""</formula>
    </cfRule>
    <cfRule type="expression" priority="908">
      <formula>XEW604&gt;0</formula>
    </cfRule>
    <cfRule type="cellIs" dxfId="604" priority="909" operator="greaterThan">
      <formula>0</formula>
    </cfRule>
  </conditionalFormatting>
  <conditionalFormatting sqref="G604:G613">
    <cfRule type="expression" dxfId="603" priority="904">
      <formula>XEW604=""</formula>
    </cfRule>
    <cfRule type="expression" priority="905">
      <formula>XEW604&gt;0</formula>
    </cfRule>
    <cfRule type="cellIs" dxfId="602" priority="906" operator="greaterThan">
      <formula>0</formula>
    </cfRule>
  </conditionalFormatting>
  <conditionalFormatting sqref="G604:G613">
    <cfRule type="expression" dxfId="601" priority="901">
      <formula>XEW604=""</formula>
    </cfRule>
    <cfRule type="expression" priority="902">
      <formula>XEW604&gt;0</formula>
    </cfRule>
    <cfRule type="cellIs" dxfId="600" priority="903" operator="greaterThan">
      <formula>0</formula>
    </cfRule>
  </conditionalFormatting>
  <conditionalFormatting sqref="G604:G613">
    <cfRule type="expression" dxfId="599" priority="898">
      <formula>XEW604=""</formula>
    </cfRule>
    <cfRule type="expression" priority="899">
      <formula>XEW604&gt;0</formula>
    </cfRule>
    <cfRule type="cellIs" dxfId="598" priority="900" operator="greaterThan">
      <formula>0</formula>
    </cfRule>
  </conditionalFormatting>
  <conditionalFormatting sqref="G604:G613">
    <cfRule type="expression" dxfId="597" priority="895">
      <formula>XEW604=""</formula>
    </cfRule>
    <cfRule type="expression" priority="896">
      <formula>XEW604&gt;0</formula>
    </cfRule>
    <cfRule type="cellIs" dxfId="596" priority="897" operator="greaterThan">
      <formula>0</formula>
    </cfRule>
  </conditionalFormatting>
  <conditionalFormatting sqref="G604:G613">
    <cfRule type="expression" dxfId="595" priority="892">
      <formula>XEW604=""</formula>
    </cfRule>
    <cfRule type="expression" priority="893">
      <formula>XEW604&gt;0</formula>
    </cfRule>
    <cfRule type="cellIs" dxfId="594" priority="894" operator="greaterThan">
      <formula>0</formula>
    </cfRule>
  </conditionalFormatting>
  <conditionalFormatting sqref="G604:G613">
    <cfRule type="expression" dxfId="593" priority="889">
      <formula>XEW604=""</formula>
    </cfRule>
    <cfRule type="expression" priority="890">
      <formula>XEW604&gt;0</formula>
    </cfRule>
    <cfRule type="cellIs" dxfId="592" priority="891" operator="greaterThan">
      <formula>0</formula>
    </cfRule>
  </conditionalFormatting>
  <conditionalFormatting sqref="G604:G613">
    <cfRule type="expression" dxfId="591" priority="886">
      <formula>XEW604=""</formula>
    </cfRule>
    <cfRule type="expression" priority="887">
      <formula>XEW604&gt;0</formula>
    </cfRule>
    <cfRule type="cellIs" dxfId="590" priority="888" operator="greaterThan">
      <formula>0</formula>
    </cfRule>
  </conditionalFormatting>
  <conditionalFormatting sqref="G604:G613">
    <cfRule type="expression" dxfId="589" priority="883">
      <formula>XEW604=""</formula>
    </cfRule>
    <cfRule type="expression" priority="884">
      <formula>XEW604&gt;0</formula>
    </cfRule>
    <cfRule type="cellIs" dxfId="588" priority="885" operator="greaterThan">
      <formula>0</formula>
    </cfRule>
  </conditionalFormatting>
  <conditionalFormatting sqref="G604:G613">
    <cfRule type="expression" dxfId="587" priority="880">
      <formula>XEW604=""</formula>
    </cfRule>
    <cfRule type="expression" priority="881">
      <formula>XEW604&gt;0</formula>
    </cfRule>
    <cfRule type="cellIs" dxfId="586" priority="882" operator="greaterThan">
      <formula>0</formula>
    </cfRule>
  </conditionalFormatting>
  <conditionalFormatting sqref="G604:G613">
    <cfRule type="expression" dxfId="585" priority="877">
      <formula>XEW604=""</formula>
    </cfRule>
    <cfRule type="expression" priority="878">
      <formula>XEW604&gt;0</formula>
    </cfRule>
    <cfRule type="cellIs" dxfId="584" priority="879" operator="greaterThan">
      <formula>0</formula>
    </cfRule>
  </conditionalFormatting>
  <conditionalFormatting sqref="G604:G613">
    <cfRule type="expression" dxfId="583" priority="874">
      <formula>XEW604=""</formula>
    </cfRule>
    <cfRule type="expression" priority="875">
      <formula>XEW604&gt;0</formula>
    </cfRule>
    <cfRule type="cellIs" dxfId="582" priority="876" operator="greaterThan">
      <formula>0</formula>
    </cfRule>
  </conditionalFormatting>
  <conditionalFormatting sqref="G604:G613">
    <cfRule type="expression" dxfId="581" priority="871">
      <formula>XEW604=""</formula>
    </cfRule>
    <cfRule type="expression" priority="872">
      <formula>XEW604&gt;0</formula>
    </cfRule>
    <cfRule type="cellIs" dxfId="580" priority="873" operator="greaterThan">
      <formula>0</formula>
    </cfRule>
  </conditionalFormatting>
  <conditionalFormatting sqref="G604:G613">
    <cfRule type="expression" dxfId="579" priority="868">
      <formula>XEW604=""</formula>
    </cfRule>
    <cfRule type="expression" priority="869">
      <formula>XEW604&gt;0</formula>
    </cfRule>
    <cfRule type="cellIs" dxfId="578" priority="870" operator="greaterThan">
      <formula>0</formula>
    </cfRule>
  </conditionalFormatting>
  <conditionalFormatting sqref="G604:G613">
    <cfRule type="expression" dxfId="577" priority="865">
      <formula>XEW604=""</formula>
    </cfRule>
    <cfRule type="expression" priority="866">
      <formula>XEW604&gt;0</formula>
    </cfRule>
    <cfRule type="cellIs" dxfId="576" priority="867" operator="greaterThan">
      <formula>0</formula>
    </cfRule>
  </conditionalFormatting>
  <conditionalFormatting sqref="G604:G613">
    <cfRule type="expression" dxfId="575" priority="862">
      <formula>XEW604=""</formula>
    </cfRule>
    <cfRule type="expression" priority="863">
      <formula>XEW604&gt;0</formula>
    </cfRule>
    <cfRule type="cellIs" dxfId="574" priority="864" operator="greaterThan">
      <formula>0</formula>
    </cfRule>
  </conditionalFormatting>
  <conditionalFormatting sqref="G604:G613">
    <cfRule type="expression" dxfId="573" priority="859">
      <formula>XEW604=""</formula>
    </cfRule>
    <cfRule type="expression" priority="860">
      <formula>XEW604&gt;0</formula>
    </cfRule>
    <cfRule type="cellIs" dxfId="572" priority="861" operator="greaterThan">
      <formula>0</formula>
    </cfRule>
  </conditionalFormatting>
  <conditionalFormatting sqref="G604:G613">
    <cfRule type="expression" dxfId="571" priority="856">
      <formula>XEW604=""</formula>
    </cfRule>
    <cfRule type="expression" priority="857">
      <formula>XEW604&gt;0</formula>
    </cfRule>
    <cfRule type="cellIs" dxfId="570" priority="858" operator="greaterThan">
      <formula>0</formula>
    </cfRule>
  </conditionalFormatting>
  <conditionalFormatting sqref="G604:G613">
    <cfRule type="expression" dxfId="569" priority="853">
      <formula>XEW604=""</formula>
    </cfRule>
    <cfRule type="expression" priority="854">
      <formula>XEW604&gt;0</formula>
    </cfRule>
    <cfRule type="cellIs" dxfId="568" priority="855" operator="greaterThan">
      <formula>0</formula>
    </cfRule>
  </conditionalFormatting>
  <conditionalFormatting sqref="G604:G613">
    <cfRule type="expression" dxfId="567" priority="850">
      <formula>XEW604=""</formula>
    </cfRule>
    <cfRule type="expression" priority="851">
      <formula>XEW604&gt;0</formula>
    </cfRule>
    <cfRule type="cellIs" dxfId="566" priority="852" operator="greaterThan">
      <formula>0</formula>
    </cfRule>
  </conditionalFormatting>
  <conditionalFormatting sqref="G604:G613">
    <cfRule type="expression" dxfId="565" priority="847">
      <formula>XEW604=""</formula>
    </cfRule>
    <cfRule type="expression" priority="848">
      <formula>XEW604&gt;0</formula>
    </cfRule>
    <cfRule type="cellIs" dxfId="564" priority="849" operator="greaterThan">
      <formula>0</formula>
    </cfRule>
  </conditionalFormatting>
  <conditionalFormatting sqref="G604:G613">
    <cfRule type="expression" dxfId="563" priority="844">
      <formula>XEW604=""</formula>
    </cfRule>
    <cfRule type="expression" priority="845">
      <formula>XEW604&gt;0</formula>
    </cfRule>
    <cfRule type="cellIs" dxfId="562" priority="846" operator="greaterThan">
      <formula>0</formula>
    </cfRule>
  </conditionalFormatting>
  <conditionalFormatting sqref="G604:G613">
    <cfRule type="expression" dxfId="561" priority="841">
      <formula>XEW604=""</formula>
    </cfRule>
    <cfRule type="expression" priority="842">
      <formula>XEW604&gt;0</formula>
    </cfRule>
    <cfRule type="cellIs" dxfId="560" priority="843" operator="greaterThan">
      <formula>0</formula>
    </cfRule>
  </conditionalFormatting>
  <conditionalFormatting sqref="G604:G613">
    <cfRule type="expression" dxfId="559" priority="838">
      <formula>XEW604=""</formula>
    </cfRule>
    <cfRule type="expression" priority="839">
      <formula>XEW604&gt;0</formula>
    </cfRule>
    <cfRule type="cellIs" dxfId="558" priority="840" operator="greaterThan">
      <formula>0</formula>
    </cfRule>
  </conditionalFormatting>
  <conditionalFormatting sqref="G604:G613">
    <cfRule type="expression" dxfId="557" priority="835">
      <formula>XEW604=""</formula>
    </cfRule>
    <cfRule type="expression" priority="836">
      <formula>XEW604&gt;0</formula>
    </cfRule>
    <cfRule type="cellIs" dxfId="556" priority="837" operator="greaterThan">
      <formula>0</formula>
    </cfRule>
  </conditionalFormatting>
  <conditionalFormatting sqref="G604:G613">
    <cfRule type="expression" dxfId="555" priority="832">
      <formula>XEW604=""</formula>
    </cfRule>
    <cfRule type="expression" priority="833">
      <formula>XEW604&gt;0</formula>
    </cfRule>
    <cfRule type="cellIs" dxfId="554" priority="834" operator="greaterThan">
      <formula>0</formula>
    </cfRule>
  </conditionalFormatting>
  <conditionalFormatting sqref="G604:G613">
    <cfRule type="expression" dxfId="553" priority="829">
      <formula>XEW604=""</formula>
    </cfRule>
    <cfRule type="expression" priority="830">
      <formula>XEW604&gt;0</formula>
    </cfRule>
    <cfRule type="cellIs" dxfId="552" priority="831" operator="greaterThan">
      <formula>0</formula>
    </cfRule>
  </conditionalFormatting>
  <conditionalFormatting sqref="H604:H613">
    <cfRule type="expression" dxfId="551" priority="826">
      <formula>XEX604=""</formula>
    </cfRule>
    <cfRule type="expression" priority="827">
      <formula>XEX604&gt;0</formula>
    </cfRule>
    <cfRule type="cellIs" dxfId="550" priority="828" operator="greaterThan">
      <formula>0</formula>
    </cfRule>
  </conditionalFormatting>
  <conditionalFormatting sqref="H604:H613">
    <cfRule type="expression" dxfId="549" priority="823">
      <formula>XEX604=""</formula>
    </cfRule>
    <cfRule type="expression" priority="824">
      <formula>XEX604&gt;0</formula>
    </cfRule>
    <cfRule type="cellIs" dxfId="548" priority="825" operator="greaterThan">
      <formula>0</formula>
    </cfRule>
  </conditionalFormatting>
  <conditionalFormatting sqref="H604:H613">
    <cfRule type="expression" dxfId="547" priority="820">
      <formula>XEX604=""</formula>
    </cfRule>
    <cfRule type="expression" priority="821">
      <formula>XEX604&gt;0</formula>
    </cfRule>
    <cfRule type="cellIs" dxfId="546" priority="822" operator="greaterThan">
      <formula>0</formula>
    </cfRule>
  </conditionalFormatting>
  <conditionalFormatting sqref="H604:H613">
    <cfRule type="expression" dxfId="545" priority="817">
      <formula>XEX604=""</formula>
    </cfRule>
    <cfRule type="expression" priority="818">
      <formula>XEX604&gt;0</formula>
    </cfRule>
    <cfRule type="cellIs" dxfId="544" priority="819" operator="greaterThan">
      <formula>0</formula>
    </cfRule>
  </conditionalFormatting>
  <conditionalFormatting sqref="H604:H613">
    <cfRule type="expression" dxfId="543" priority="814">
      <formula>XEX604=""</formula>
    </cfRule>
    <cfRule type="expression" priority="815">
      <formula>XEX604&gt;0</formula>
    </cfRule>
    <cfRule type="cellIs" dxfId="542" priority="816" operator="greaterThan">
      <formula>0</formula>
    </cfRule>
  </conditionalFormatting>
  <conditionalFormatting sqref="H604:H613">
    <cfRule type="expression" dxfId="541" priority="811">
      <formula>XEX604=""</formula>
    </cfRule>
    <cfRule type="expression" priority="812">
      <formula>XEX604&gt;0</formula>
    </cfRule>
    <cfRule type="cellIs" dxfId="540" priority="813" operator="greaterThan">
      <formula>0</formula>
    </cfRule>
  </conditionalFormatting>
  <conditionalFormatting sqref="H604:H613">
    <cfRule type="expression" dxfId="539" priority="808">
      <formula>XEX604=""</formula>
    </cfRule>
    <cfRule type="expression" priority="809">
      <formula>XEX604&gt;0</formula>
    </cfRule>
    <cfRule type="cellIs" dxfId="538" priority="810" operator="greaterThan">
      <formula>0</formula>
    </cfRule>
  </conditionalFormatting>
  <conditionalFormatting sqref="H604:H613">
    <cfRule type="expression" dxfId="537" priority="805">
      <formula>XEX604=""</formula>
    </cfRule>
    <cfRule type="expression" priority="806">
      <formula>XEX604&gt;0</formula>
    </cfRule>
    <cfRule type="cellIs" dxfId="536" priority="807" operator="greaterThan">
      <formula>0</formula>
    </cfRule>
  </conditionalFormatting>
  <conditionalFormatting sqref="H604:H613">
    <cfRule type="expression" dxfId="535" priority="802">
      <formula>XEX604=""</formula>
    </cfRule>
    <cfRule type="expression" priority="803">
      <formula>XEX604&gt;0</formula>
    </cfRule>
    <cfRule type="cellIs" dxfId="534" priority="804" operator="greaterThan">
      <formula>0</formula>
    </cfRule>
  </conditionalFormatting>
  <conditionalFormatting sqref="H604:H613">
    <cfRule type="expression" dxfId="533" priority="799">
      <formula>XEX604=""</formula>
    </cfRule>
    <cfRule type="expression" priority="800">
      <formula>XEX604&gt;0</formula>
    </cfRule>
    <cfRule type="cellIs" dxfId="532" priority="801" operator="greaterThan">
      <formula>0</formula>
    </cfRule>
  </conditionalFormatting>
  <conditionalFormatting sqref="H604:H613">
    <cfRule type="expression" dxfId="531" priority="796">
      <formula>XEX604=""</formula>
    </cfRule>
    <cfRule type="expression" priority="797">
      <formula>XEX604&gt;0</formula>
    </cfRule>
    <cfRule type="cellIs" dxfId="530" priority="798" operator="greaterThan">
      <formula>0</formula>
    </cfRule>
  </conditionalFormatting>
  <conditionalFormatting sqref="H604:H613">
    <cfRule type="expression" dxfId="529" priority="793">
      <formula>XEX604=""</formula>
    </cfRule>
    <cfRule type="expression" priority="794">
      <formula>XEX604&gt;0</formula>
    </cfRule>
    <cfRule type="cellIs" dxfId="528" priority="795" operator="greaterThan">
      <formula>0</formula>
    </cfRule>
  </conditionalFormatting>
  <conditionalFormatting sqref="H604:H613">
    <cfRule type="expression" dxfId="527" priority="790">
      <formula>XEX604=""</formula>
    </cfRule>
    <cfRule type="expression" priority="791">
      <formula>XEX604&gt;0</formula>
    </cfRule>
    <cfRule type="cellIs" dxfId="526" priority="792" operator="greaterThan">
      <formula>0</formula>
    </cfRule>
  </conditionalFormatting>
  <conditionalFormatting sqref="H604:H613">
    <cfRule type="expression" dxfId="525" priority="787">
      <formula>XEX604=""</formula>
    </cfRule>
    <cfRule type="expression" priority="788">
      <formula>XEX604&gt;0</formula>
    </cfRule>
    <cfRule type="cellIs" dxfId="524" priority="789" operator="greaterThan">
      <formula>0</formula>
    </cfRule>
  </conditionalFormatting>
  <conditionalFormatting sqref="H604:H613">
    <cfRule type="expression" dxfId="523" priority="784">
      <formula>XEX604=""</formula>
    </cfRule>
    <cfRule type="expression" priority="785">
      <formula>XEX604&gt;0</formula>
    </cfRule>
    <cfRule type="cellIs" dxfId="522" priority="786" operator="greaterThan">
      <formula>0</formula>
    </cfRule>
  </conditionalFormatting>
  <conditionalFormatting sqref="H604:H613">
    <cfRule type="expression" dxfId="521" priority="781">
      <formula>XEX604=""</formula>
    </cfRule>
    <cfRule type="expression" priority="782">
      <formula>XEX604&gt;0</formula>
    </cfRule>
    <cfRule type="cellIs" dxfId="520" priority="783" operator="greaterThan">
      <formula>0</formula>
    </cfRule>
  </conditionalFormatting>
  <conditionalFormatting sqref="H604:H613">
    <cfRule type="expression" dxfId="519" priority="778">
      <formula>XEX604=""</formula>
    </cfRule>
    <cfRule type="expression" priority="779">
      <formula>XEX604&gt;0</formula>
    </cfRule>
    <cfRule type="cellIs" dxfId="518" priority="780" operator="greaterThan">
      <formula>0</formula>
    </cfRule>
  </conditionalFormatting>
  <conditionalFormatting sqref="H604:H613">
    <cfRule type="expression" dxfId="517" priority="775">
      <formula>XEX604=""</formula>
    </cfRule>
    <cfRule type="expression" priority="776">
      <formula>XEX604&gt;0</formula>
    </cfRule>
    <cfRule type="cellIs" dxfId="516" priority="777" operator="greaterThan">
      <formula>0</formula>
    </cfRule>
  </conditionalFormatting>
  <conditionalFormatting sqref="H604:H613">
    <cfRule type="expression" dxfId="515" priority="772">
      <formula>XEX604=""</formula>
    </cfRule>
    <cfRule type="expression" priority="773">
      <formula>XEX604&gt;0</formula>
    </cfRule>
    <cfRule type="cellIs" dxfId="514" priority="774" operator="greaterThan">
      <formula>0</formula>
    </cfRule>
  </conditionalFormatting>
  <conditionalFormatting sqref="H604:H613">
    <cfRule type="expression" dxfId="513" priority="769">
      <formula>XEX604=""</formula>
    </cfRule>
    <cfRule type="expression" priority="770">
      <formula>XEX604&gt;0</formula>
    </cfRule>
    <cfRule type="cellIs" dxfId="512" priority="771" operator="greaterThan">
      <formula>0</formula>
    </cfRule>
  </conditionalFormatting>
  <conditionalFormatting sqref="H604:H613">
    <cfRule type="expression" dxfId="511" priority="766">
      <formula>XEX604=""</formula>
    </cfRule>
    <cfRule type="expression" priority="767">
      <formula>XEX604&gt;0</formula>
    </cfRule>
    <cfRule type="cellIs" dxfId="510" priority="768" operator="greaterThan">
      <formula>0</formula>
    </cfRule>
  </conditionalFormatting>
  <conditionalFormatting sqref="H604:H613">
    <cfRule type="expression" dxfId="509" priority="763">
      <formula>XEX604=""</formula>
    </cfRule>
    <cfRule type="expression" priority="764">
      <formula>XEX604&gt;0</formula>
    </cfRule>
    <cfRule type="cellIs" dxfId="508" priority="765" operator="greaterThan">
      <formula>0</formula>
    </cfRule>
  </conditionalFormatting>
  <conditionalFormatting sqref="H604:H613">
    <cfRule type="expression" dxfId="507" priority="760">
      <formula>XEX604=""</formula>
    </cfRule>
    <cfRule type="expression" priority="761">
      <formula>XEX604&gt;0</formula>
    </cfRule>
    <cfRule type="cellIs" dxfId="506" priority="762" operator="greaterThan">
      <formula>0</formula>
    </cfRule>
  </conditionalFormatting>
  <conditionalFormatting sqref="H604:H613">
    <cfRule type="expression" dxfId="505" priority="757">
      <formula>XEX604=""</formula>
    </cfRule>
    <cfRule type="expression" priority="758">
      <formula>XEX604&gt;0</formula>
    </cfRule>
    <cfRule type="cellIs" dxfId="504" priority="759" operator="greaterThan">
      <formula>0</formula>
    </cfRule>
  </conditionalFormatting>
  <conditionalFormatting sqref="H604:H613">
    <cfRule type="expression" dxfId="503" priority="754">
      <formula>XEX604=""</formula>
    </cfRule>
    <cfRule type="expression" priority="755">
      <formula>XEX604&gt;0</formula>
    </cfRule>
    <cfRule type="cellIs" dxfId="502" priority="756" operator="greaterThan">
      <formula>0</formula>
    </cfRule>
  </conditionalFormatting>
  <conditionalFormatting sqref="H604:H613">
    <cfRule type="expression" dxfId="501" priority="751">
      <formula>XEX604=""</formula>
    </cfRule>
    <cfRule type="expression" priority="752">
      <formula>XEX604&gt;0</formula>
    </cfRule>
    <cfRule type="cellIs" dxfId="500" priority="753" operator="greaterThan">
      <formula>0</formula>
    </cfRule>
  </conditionalFormatting>
  <conditionalFormatting sqref="H604:H613">
    <cfRule type="expression" dxfId="499" priority="748">
      <formula>XEX604=""</formula>
    </cfRule>
    <cfRule type="expression" priority="749">
      <formula>XEX604&gt;0</formula>
    </cfRule>
    <cfRule type="cellIs" dxfId="498" priority="750" operator="greaterThan">
      <formula>0</formula>
    </cfRule>
  </conditionalFormatting>
  <conditionalFormatting sqref="H604:H613">
    <cfRule type="expression" dxfId="497" priority="745">
      <formula>XEX604=""</formula>
    </cfRule>
    <cfRule type="expression" priority="746">
      <formula>XEX604&gt;0</formula>
    </cfRule>
    <cfRule type="cellIs" dxfId="496" priority="747" operator="greaterThan">
      <formula>0</formula>
    </cfRule>
  </conditionalFormatting>
  <conditionalFormatting sqref="H604:H613">
    <cfRule type="expression" dxfId="495" priority="742">
      <formula>XEX604=""</formula>
    </cfRule>
    <cfRule type="expression" priority="743">
      <formula>XEX604&gt;0</formula>
    </cfRule>
    <cfRule type="cellIs" dxfId="494" priority="744" operator="greaterThan">
      <formula>0</formula>
    </cfRule>
  </conditionalFormatting>
  <conditionalFormatting sqref="H604:H613">
    <cfRule type="expression" dxfId="493" priority="739">
      <formula>XEX604=""</formula>
    </cfRule>
    <cfRule type="expression" priority="740">
      <formula>XEX604&gt;0</formula>
    </cfRule>
    <cfRule type="cellIs" dxfId="492" priority="741" operator="greaterThan">
      <formula>0</formula>
    </cfRule>
  </conditionalFormatting>
  <conditionalFormatting sqref="H604:H613">
    <cfRule type="expression" dxfId="491" priority="736">
      <formula>XEX604=""</formula>
    </cfRule>
    <cfRule type="expression" priority="737">
      <formula>XEX604&gt;0</formula>
    </cfRule>
    <cfRule type="cellIs" dxfId="490" priority="738" operator="greaterThan">
      <formula>0</formula>
    </cfRule>
  </conditionalFormatting>
  <conditionalFormatting sqref="H604:H613">
    <cfRule type="expression" dxfId="489" priority="733">
      <formula>XEX604=""</formula>
    </cfRule>
    <cfRule type="expression" priority="734">
      <formula>XEX604&gt;0</formula>
    </cfRule>
    <cfRule type="cellIs" dxfId="488" priority="735" operator="greaterThan">
      <formula>0</formula>
    </cfRule>
  </conditionalFormatting>
  <conditionalFormatting sqref="H604:H613">
    <cfRule type="expression" dxfId="487" priority="730">
      <formula>XEX604=""</formula>
    </cfRule>
    <cfRule type="expression" priority="731">
      <formula>XEX604&gt;0</formula>
    </cfRule>
    <cfRule type="cellIs" dxfId="486" priority="732" operator="greaterThan">
      <formula>0</formula>
    </cfRule>
  </conditionalFormatting>
  <conditionalFormatting sqref="H604:H613">
    <cfRule type="expression" dxfId="485" priority="727">
      <formula>XEX604=""</formula>
    </cfRule>
    <cfRule type="expression" priority="728">
      <formula>XEX604&gt;0</formula>
    </cfRule>
    <cfRule type="cellIs" dxfId="484" priority="729" operator="greaterThan">
      <formula>0</formula>
    </cfRule>
  </conditionalFormatting>
  <conditionalFormatting sqref="H604:H613">
    <cfRule type="expression" dxfId="483" priority="724">
      <formula>XEX604=""</formula>
    </cfRule>
    <cfRule type="expression" priority="725">
      <formula>XEX604&gt;0</formula>
    </cfRule>
    <cfRule type="cellIs" dxfId="482" priority="726" operator="greaterThan">
      <formula>0</formula>
    </cfRule>
  </conditionalFormatting>
  <conditionalFormatting sqref="H604:H613">
    <cfRule type="expression" dxfId="481" priority="721">
      <formula>XEX604=""</formula>
    </cfRule>
    <cfRule type="expression" priority="722">
      <formula>XEX604&gt;0</formula>
    </cfRule>
    <cfRule type="cellIs" dxfId="480" priority="723" operator="greaterThan">
      <formula>0</formula>
    </cfRule>
  </conditionalFormatting>
  <conditionalFormatting sqref="H604:H613">
    <cfRule type="expression" dxfId="479" priority="718">
      <formula>XEX604=""</formula>
    </cfRule>
    <cfRule type="expression" priority="719">
      <formula>XEX604&gt;0</formula>
    </cfRule>
    <cfRule type="cellIs" dxfId="478" priority="720" operator="greaterThan">
      <formula>0</formula>
    </cfRule>
  </conditionalFormatting>
  <conditionalFormatting sqref="H604:H613">
    <cfRule type="expression" dxfId="477" priority="715">
      <formula>XEX604=""</formula>
    </cfRule>
    <cfRule type="expression" priority="716">
      <formula>XEX604&gt;0</formula>
    </cfRule>
    <cfRule type="cellIs" dxfId="476" priority="717" operator="greaterThan">
      <formula>0</formula>
    </cfRule>
  </conditionalFormatting>
  <conditionalFormatting sqref="H604:H613">
    <cfRule type="expression" dxfId="475" priority="712">
      <formula>XEX604=""</formula>
    </cfRule>
    <cfRule type="expression" priority="713">
      <formula>XEX604&gt;0</formula>
    </cfRule>
    <cfRule type="cellIs" dxfId="474" priority="714" operator="greaterThan">
      <formula>0</formula>
    </cfRule>
  </conditionalFormatting>
  <conditionalFormatting sqref="H604:H613">
    <cfRule type="expression" dxfId="473" priority="709">
      <formula>XEX604=""</formula>
    </cfRule>
    <cfRule type="expression" priority="710">
      <formula>XEX604&gt;0</formula>
    </cfRule>
    <cfRule type="cellIs" dxfId="472" priority="711" operator="greaterThan">
      <formula>0</formula>
    </cfRule>
  </conditionalFormatting>
  <conditionalFormatting sqref="H604:H613">
    <cfRule type="expression" dxfId="471" priority="706">
      <formula>XEX604=""</formula>
    </cfRule>
    <cfRule type="expression" priority="707">
      <formula>XEX604&gt;0</formula>
    </cfRule>
    <cfRule type="cellIs" dxfId="470" priority="708" operator="greaterThan">
      <formula>0</formula>
    </cfRule>
  </conditionalFormatting>
  <conditionalFormatting sqref="H604:H613">
    <cfRule type="expression" dxfId="469" priority="703">
      <formula>XEX604=""</formula>
    </cfRule>
    <cfRule type="expression" priority="704">
      <formula>XEX604&gt;0</formula>
    </cfRule>
    <cfRule type="cellIs" dxfId="468" priority="705" operator="greaterThan">
      <formula>0</formula>
    </cfRule>
  </conditionalFormatting>
  <conditionalFormatting sqref="H604:H613">
    <cfRule type="expression" dxfId="467" priority="700">
      <formula>XEX604=""</formula>
    </cfRule>
    <cfRule type="expression" priority="701">
      <formula>XEX604&gt;0</formula>
    </cfRule>
    <cfRule type="cellIs" dxfId="466" priority="702" operator="greaterThan">
      <formula>0</formula>
    </cfRule>
  </conditionalFormatting>
  <conditionalFormatting sqref="H604:H613">
    <cfRule type="expression" dxfId="465" priority="697">
      <formula>XEX604=""</formula>
    </cfRule>
    <cfRule type="expression" priority="698">
      <formula>XEX604&gt;0</formula>
    </cfRule>
    <cfRule type="cellIs" dxfId="464" priority="699" operator="greaterThan">
      <formula>0</formula>
    </cfRule>
  </conditionalFormatting>
  <conditionalFormatting sqref="H604:H613">
    <cfRule type="expression" dxfId="463" priority="694">
      <formula>XEX604=""</formula>
    </cfRule>
    <cfRule type="expression" priority="695">
      <formula>XEX604&gt;0</formula>
    </cfRule>
    <cfRule type="cellIs" dxfId="462" priority="696" operator="greaterThan">
      <formula>0</formula>
    </cfRule>
  </conditionalFormatting>
  <conditionalFormatting sqref="H604:H613">
    <cfRule type="expression" dxfId="461" priority="691">
      <formula>XEX604=""</formula>
    </cfRule>
    <cfRule type="expression" priority="692">
      <formula>XEX604&gt;0</formula>
    </cfRule>
    <cfRule type="cellIs" dxfId="460" priority="693" operator="greaterThan">
      <formula>0</formula>
    </cfRule>
  </conditionalFormatting>
  <conditionalFormatting sqref="H604:H613">
    <cfRule type="expression" dxfId="459" priority="688">
      <formula>XEX604=""</formula>
    </cfRule>
    <cfRule type="expression" priority="689">
      <formula>XEX604&gt;0</formula>
    </cfRule>
    <cfRule type="cellIs" dxfId="458" priority="690" operator="greaterThan">
      <formula>0</formula>
    </cfRule>
  </conditionalFormatting>
  <conditionalFormatting sqref="H604:H613">
    <cfRule type="expression" dxfId="457" priority="685">
      <formula>XEX604=""</formula>
    </cfRule>
    <cfRule type="expression" priority="686">
      <formula>XEX604&gt;0</formula>
    </cfRule>
    <cfRule type="cellIs" dxfId="456" priority="687" operator="greaterThan">
      <formula>0</formula>
    </cfRule>
  </conditionalFormatting>
  <conditionalFormatting sqref="H604:H613">
    <cfRule type="expression" dxfId="455" priority="682">
      <formula>XEX604=""</formula>
    </cfRule>
    <cfRule type="expression" priority="683">
      <formula>XEX604&gt;0</formula>
    </cfRule>
    <cfRule type="cellIs" dxfId="454" priority="684" operator="greaterThan">
      <formula>0</formula>
    </cfRule>
  </conditionalFormatting>
  <conditionalFormatting sqref="H604:H613">
    <cfRule type="expression" dxfId="453" priority="679">
      <formula>XEX604=""</formula>
    </cfRule>
    <cfRule type="expression" priority="680">
      <formula>XEX604&gt;0</formula>
    </cfRule>
    <cfRule type="cellIs" dxfId="452" priority="681" operator="greaterThan">
      <formula>0</formula>
    </cfRule>
  </conditionalFormatting>
  <conditionalFormatting sqref="H604:H613">
    <cfRule type="expression" dxfId="451" priority="676">
      <formula>XEX604=""</formula>
    </cfRule>
    <cfRule type="expression" priority="677">
      <formula>XEX604&gt;0</formula>
    </cfRule>
    <cfRule type="cellIs" dxfId="450" priority="678" operator="greaterThan">
      <formula>0</formula>
    </cfRule>
  </conditionalFormatting>
  <conditionalFormatting sqref="H604:H613">
    <cfRule type="expression" dxfId="449" priority="673">
      <formula>XEX604=""</formula>
    </cfRule>
    <cfRule type="expression" priority="674">
      <formula>XEX604&gt;0</formula>
    </cfRule>
    <cfRule type="cellIs" dxfId="448" priority="675" operator="greaterThan">
      <formula>0</formula>
    </cfRule>
  </conditionalFormatting>
  <conditionalFormatting sqref="H604:H613">
    <cfRule type="expression" dxfId="447" priority="670">
      <formula>XEX604=""</formula>
    </cfRule>
    <cfRule type="expression" priority="671">
      <formula>XEX604&gt;0</formula>
    </cfRule>
    <cfRule type="cellIs" dxfId="446" priority="672" operator="greaterThan">
      <formula>0</formula>
    </cfRule>
  </conditionalFormatting>
  <conditionalFormatting sqref="H604:H613">
    <cfRule type="expression" dxfId="445" priority="667">
      <formula>XEX604=""</formula>
    </cfRule>
    <cfRule type="expression" priority="668">
      <formula>XEX604&gt;0</formula>
    </cfRule>
    <cfRule type="cellIs" dxfId="444" priority="669" operator="greaterThan">
      <formula>0</formula>
    </cfRule>
  </conditionalFormatting>
  <conditionalFormatting sqref="H604:H613">
    <cfRule type="expression" dxfId="443" priority="664">
      <formula>XEX604=""</formula>
    </cfRule>
    <cfRule type="expression" priority="665">
      <formula>XEX604&gt;0</formula>
    </cfRule>
    <cfRule type="cellIs" dxfId="442" priority="666" operator="greaterThan">
      <formula>0</formula>
    </cfRule>
  </conditionalFormatting>
  <conditionalFormatting sqref="I604:I613">
    <cfRule type="expression" dxfId="441" priority="661">
      <formula>XEY604=""</formula>
    </cfRule>
    <cfRule type="expression" priority="662">
      <formula>XEY604&gt;0</formula>
    </cfRule>
    <cfRule type="cellIs" dxfId="440" priority="663" operator="greaterThan">
      <formula>0</formula>
    </cfRule>
  </conditionalFormatting>
  <conditionalFormatting sqref="I604:I613">
    <cfRule type="expression" dxfId="439" priority="658">
      <formula>XEY604=""</formula>
    </cfRule>
    <cfRule type="expression" priority="659">
      <formula>XEY604&gt;0</formula>
    </cfRule>
    <cfRule type="cellIs" dxfId="438" priority="660" operator="greaterThan">
      <formula>0</formula>
    </cfRule>
  </conditionalFormatting>
  <conditionalFormatting sqref="I604:I613">
    <cfRule type="expression" dxfId="437" priority="655">
      <formula>XEY604=""</formula>
    </cfRule>
    <cfRule type="expression" priority="656">
      <formula>XEY604&gt;0</formula>
    </cfRule>
    <cfRule type="cellIs" dxfId="436" priority="657" operator="greaterThan">
      <formula>0</formula>
    </cfRule>
  </conditionalFormatting>
  <conditionalFormatting sqref="I604:I613">
    <cfRule type="expression" dxfId="435" priority="652">
      <formula>XEY604=""</formula>
    </cfRule>
    <cfRule type="expression" priority="653">
      <formula>XEY604&gt;0</formula>
    </cfRule>
    <cfRule type="cellIs" dxfId="434" priority="654" operator="greaterThan">
      <formula>0</formula>
    </cfRule>
  </conditionalFormatting>
  <conditionalFormatting sqref="I604:I613">
    <cfRule type="expression" dxfId="433" priority="649">
      <formula>XEY604=""</formula>
    </cfRule>
    <cfRule type="expression" priority="650">
      <formula>XEY604&gt;0</formula>
    </cfRule>
    <cfRule type="cellIs" dxfId="432" priority="651" operator="greaterThan">
      <formula>0</formula>
    </cfRule>
  </conditionalFormatting>
  <conditionalFormatting sqref="I604:I613">
    <cfRule type="expression" dxfId="431" priority="646">
      <formula>XEY604=""</formula>
    </cfRule>
    <cfRule type="expression" priority="647">
      <formula>XEY604&gt;0</formula>
    </cfRule>
    <cfRule type="cellIs" dxfId="430" priority="648" operator="greaterThan">
      <formula>0</formula>
    </cfRule>
  </conditionalFormatting>
  <conditionalFormatting sqref="I604:I613">
    <cfRule type="expression" dxfId="429" priority="643">
      <formula>XEY604=""</formula>
    </cfRule>
    <cfRule type="expression" priority="644">
      <formula>XEY604&gt;0</formula>
    </cfRule>
    <cfRule type="cellIs" dxfId="428" priority="645" operator="greaterThan">
      <formula>0</formula>
    </cfRule>
  </conditionalFormatting>
  <conditionalFormatting sqref="I604:I613">
    <cfRule type="expression" dxfId="427" priority="640">
      <formula>XEY604=""</formula>
    </cfRule>
    <cfRule type="expression" priority="641">
      <formula>XEY604&gt;0</formula>
    </cfRule>
    <cfRule type="cellIs" dxfId="426" priority="642" operator="greaterThan">
      <formula>0</formula>
    </cfRule>
  </conditionalFormatting>
  <conditionalFormatting sqref="I604:I613">
    <cfRule type="expression" dxfId="425" priority="637">
      <formula>XEY604=""</formula>
    </cfRule>
    <cfRule type="expression" priority="638">
      <formula>XEY604&gt;0</formula>
    </cfRule>
    <cfRule type="cellIs" dxfId="424" priority="639" operator="greaterThan">
      <formula>0</formula>
    </cfRule>
  </conditionalFormatting>
  <conditionalFormatting sqref="I604:I613">
    <cfRule type="expression" dxfId="423" priority="634">
      <formula>XEY604=""</formula>
    </cfRule>
    <cfRule type="expression" priority="635">
      <formula>XEY604&gt;0</formula>
    </cfRule>
    <cfRule type="cellIs" dxfId="422" priority="636" operator="greaterThan">
      <formula>0</formula>
    </cfRule>
  </conditionalFormatting>
  <conditionalFormatting sqref="I604:I613">
    <cfRule type="expression" dxfId="421" priority="631">
      <formula>XEY604=""</formula>
    </cfRule>
    <cfRule type="expression" priority="632">
      <formula>XEY604&gt;0</formula>
    </cfRule>
    <cfRule type="cellIs" dxfId="420" priority="633" operator="greaterThan">
      <formula>0</formula>
    </cfRule>
  </conditionalFormatting>
  <conditionalFormatting sqref="I604:I613">
    <cfRule type="expression" dxfId="419" priority="628">
      <formula>XEY604=""</formula>
    </cfRule>
    <cfRule type="expression" priority="629">
      <formula>XEY604&gt;0</formula>
    </cfRule>
    <cfRule type="cellIs" dxfId="418" priority="630" operator="greaterThan">
      <formula>0</formula>
    </cfRule>
  </conditionalFormatting>
  <conditionalFormatting sqref="I604:I613">
    <cfRule type="expression" dxfId="417" priority="625">
      <formula>XEY604=""</formula>
    </cfRule>
    <cfRule type="expression" priority="626">
      <formula>XEY604&gt;0</formula>
    </cfRule>
    <cfRule type="cellIs" dxfId="416" priority="627" operator="greaterThan">
      <formula>0</formula>
    </cfRule>
  </conditionalFormatting>
  <conditionalFormatting sqref="I604:I613">
    <cfRule type="expression" dxfId="415" priority="622">
      <formula>XEY604=""</formula>
    </cfRule>
    <cfRule type="expression" priority="623">
      <formula>XEY604&gt;0</formula>
    </cfRule>
    <cfRule type="cellIs" dxfId="414" priority="624" operator="greaterThan">
      <formula>0</formula>
    </cfRule>
  </conditionalFormatting>
  <conditionalFormatting sqref="I604:I613">
    <cfRule type="expression" dxfId="413" priority="619">
      <formula>XEY604=""</formula>
    </cfRule>
    <cfRule type="expression" priority="620">
      <formula>XEY604&gt;0</formula>
    </cfRule>
    <cfRule type="cellIs" dxfId="412" priority="621" operator="greaterThan">
      <formula>0</formula>
    </cfRule>
  </conditionalFormatting>
  <conditionalFormatting sqref="I604:I613">
    <cfRule type="expression" dxfId="411" priority="616">
      <formula>XEY604=""</formula>
    </cfRule>
    <cfRule type="expression" priority="617">
      <formula>XEY604&gt;0</formula>
    </cfRule>
    <cfRule type="cellIs" dxfId="410" priority="618" operator="greaterThan">
      <formula>0</formula>
    </cfRule>
  </conditionalFormatting>
  <conditionalFormatting sqref="I604:I613">
    <cfRule type="expression" dxfId="409" priority="613">
      <formula>XEY604=""</formula>
    </cfRule>
    <cfRule type="expression" priority="614">
      <formula>XEY604&gt;0</formula>
    </cfRule>
    <cfRule type="cellIs" dxfId="408" priority="615" operator="greaterThan">
      <formula>0</formula>
    </cfRule>
  </conditionalFormatting>
  <conditionalFormatting sqref="I604:I613">
    <cfRule type="expression" dxfId="407" priority="610">
      <formula>XEY604=""</formula>
    </cfRule>
    <cfRule type="expression" priority="611">
      <formula>XEY604&gt;0</formula>
    </cfRule>
    <cfRule type="cellIs" dxfId="406" priority="612" operator="greaterThan">
      <formula>0</formula>
    </cfRule>
  </conditionalFormatting>
  <conditionalFormatting sqref="I604:I613">
    <cfRule type="expression" dxfId="405" priority="607">
      <formula>XEY604=""</formula>
    </cfRule>
    <cfRule type="expression" priority="608">
      <formula>XEY604&gt;0</formula>
    </cfRule>
    <cfRule type="cellIs" dxfId="404" priority="609" operator="greaterThan">
      <formula>0</formula>
    </cfRule>
  </conditionalFormatting>
  <conditionalFormatting sqref="I604:I613">
    <cfRule type="expression" dxfId="403" priority="604">
      <formula>XEY604=""</formula>
    </cfRule>
    <cfRule type="expression" priority="605">
      <formula>XEY604&gt;0</formula>
    </cfRule>
    <cfRule type="cellIs" dxfId="402" priority="606" operator="greaterThan">
      <formula>0</formula>
    </cfRule>
  </conditionalFormatting>
  <conditionalFormatting sqref="I604:I613">
    <cfRule type="expression" dxfId="401" priority="601">
      <formula>XEY604=""</formula>
    </cfRule>
    <cfRule type="expression" priority="602">
      <formula>XEY604&gt;0</formula>
    </cfRule>
    <cfRule type="cellIs" dxfId="400" priority="603" operator="greaterThan">
      <formula>0</formula>
    </cfRule>
  </conditionalFormatting>
  <conditionalFormatting sqref="I604:I613">
    <cfRule type="expression" dxfId="399" priority="598">
      <formula>XEY604=""</formula>
    </cfRule>
    <cfRule type="expression" priority="599">
      <formula>XEY604&gt;0</formula>
    </cfRule>
    <cfRule type="cellIs" dxfId="398" priority="600" operator="greaterThan">
      <formula>0</formula>
    </cfRule>
  </conditionalFormatting>
  <conditionalFormatting sqref="I604:I613">
    <cfRule type="expression" dxfId="397" priority="595">
      <formula>XEY604=""</formula>
    </cfRule>
    <cfRule type="expression" priority="596">
      <formula>XEY604&gt;0</formula>
    </cfRule>
    <cfRule type="cellIs" dxfId="396" priority="597" operator="greaterThan">
      <formula>0</formula>
    </cfRule>
  </conditionalFormatting>
  <conditionalFormatting sqref="I604:I613">
    <cfRule type="expression" dxfId="395" priority="592">
      <formula>XEY604=""</formula>
    </cfRule>
    <cfRule type="expression" priority="593">
      <formula>XEY604&gt;0</formula>
    </cfRule>
    <cfRule type="cellIs" dxfId="394" priority="594" operator="greaterThan">
      <formula>0</formula>
    </cfRule>
  </conditionalFormatting>
  <conditionalFormatting sqref="I604:I613">
    <cfRule type="expression" dxfId="393" priority="589">
      <formula>XEY604=""</formula>
    </cfRule>
    <cfRule type="expression" priority="590">
      <formula>XEY604&gt;0</formula>
    </cfRule>
    <cfRule type="cellIs" dxfId="392" priority="591" operator="greaterThan">
      <formula>0</formula>
    </cfRule>
  </conditionalFormatting>
  <conditionalFormatting sqref="I604:I613">
    <cfRule type="expression" dxfId="391" priority="586">
      <formula>XEY604=""</formula>
    </cfRule>
    <cfRule type="expression" priority="587">
      <formula>XEY604&gt;0</formula>
    </cfRule>
    <cfRule type="cellIs" dxfId="390" priority="588" operator="greaterThan">
      <formula>0</formula>
    </cfRule>
  </conditionalFormatting>
  <conditionalFormatting sqref="I604:I613">
    <cfRule type="expression" dxfId="389" priority="583">
      <formula>XEY604=""</formula>
    </cfRule>
    <cfRule type="expression" priority="584">
      <formula>XEY604&gt;0</formula>
    </cfRule>
    <cfRule type="cellIs" dxfId="388" priority="585" operator="greaterThan">
      <formula>0</formula>
    </cfRule>
  </conditionalFormatting>
  <conditionalFormatting sqref="I604:I613">
    <cfRule type="expression" dxfId="387" priority="580">
      <formula>XEY604=""</formula>
    </cfRule>
    <cfRule type="expression" priority="581">
      <formula>XEY604&gt;0</formula>
    </cfRule>
    <cfRule type="cellIs" dxfId="386" priority="582" operator="greaterThan">
      <formula>0</formula>
    </cfRule>
  </conditionalFormatting>
  <conditionalFormatting sqref="I604:I613">
    <cfRule type="expression" dxfId="385" priority="577">
      <formula>XEY604=""</formula>
    </cfRule>
    <cfRule type="expression" priority="578">
      <formula>XEY604&gt;0</formula>
    </cfRule>
    <cfRule type="cellIs" dxfId="384" priority="579" operator="greaterThan">
      <formula>0</formula>
    </cfRule>
  </conditionalFormatting>
  <conditionalFormatting sqref="I604:I613">
    <cfRule type="expression" dxfId="383" priority="574">
      <formula>XEY604=""</formula>
    </cfRule>
    <cfRule type="expression" priority="575">
      <formula>XEY604&gt;0</formula>
    </cfRule>
    <cfRule type="cellIs" dxfId="382" priority="576" operator="greaterThan">
      <formula>0</formula>
    </cfRule>
  </conditionalFormatting>
  <conditionalFormatting sqref="I604:I613">
    <cfRule type="expression" dxfId="381" priority="571">
      <formula>XEY604=""</formula>
    </cfRule>
    <cfRule type="expression" priority="572">
      <formula>XEY604&gt;0</formula>
    </cfRule>
    <cfRule type="cellIs" dxfId="380" priority="573" operator="greaterThan">
      <formula>0</formula>
    </cfRule>
  </conditionalFormatting>
  <conditionalFormatting sqref="I604:I613">
    <cfRule type="expression" dxfId="379" priority="568">
      <formula>XEY604=""</formula>
    </cfRule>
    <cfRule type="expression" priority="569">
      <formula>XEY604&gt;0</formula>
    </cfRule>
    <cfRule type="cellIs" dxfId="378" priority="570" operator="greaterThan">
      <formula>0</formula>
    </cfRule>
  </conditionalFormatting>
  <conditionalFormatting sqref="I604:I613">
    <cfRule type="expression" dxfId="377" priority="565">
      <formula>XEY604=""</formula>
    </cfRule>
    <cfRule type="expression" priority="566">
      <formula>XEY604&gt;0</formula>
    </cfRule>
    <cfRule type="cellIs" dxfId="376" priority="567" operator="greaterThan">
      <formula>0</formula>
    </cfRule>
  </conditionalFormatting>
  <conditionalFormatting sqref="I604:I613">
    <cfRule type="expression" dxfId="375" priority="562">
      <formula>XEY604=""</formula>
    </cfRule>
    <cfRule type="expression" priority="563">
      <formula>XEY604&gt;0</formula>
    </cfRule>
    <cfRule type="cellIs" dxfId="374" priority="564" operator="greaterThan">
      <formula>0</formula>
    </cfRule>
  </conditionalFormatting>
  <conditionalFormatting sqref="I604:I613">
    <cfRule type="expression" dxfId="373" priority="559">
      <formula>XEY604=""</formula>
    </cfRule>
    <cfRule type="expression" priority="560">
      <formula>XEY604&gt;0</formula>
    </cfRule>
    <cfRule type="cellIs" dxfId="372" priority="561" operator="greaterThan">
      <formula>0</formula>
    </cfRule>
  </conditionalFormatting>
  <conditionalFormatting sqref="I604:I613">
    <cfRule type="expression" dxfId="371" priority="556">
      <formula>XEY604=""</formula>
    </cfRule>
    <cfRule type="expression" priority="557">
      <formula>XEY604&gt;0</formula>
    </cfRule>
    <cfRule type="cellIs" dxfId="370" priority="558" operator="greaterThan">
      <formula>0</formula>
    </cfRule>
  </conditionalFormatting>
  <conditionalFormatting sqref="I604:I613">
    <cfRule type="expression" dxfId="369" priority="553">
      <formula>XEY604=""</formula>
    </cfRule>
    <cfRule type="expression" priority="554">
      <formula>XEY604&gt;0</formula>
    </cfRule>
    <cfRule type="cellIs" dxfId="368" priority="555" operator="greaterThan">
      <formula>0</formula>
    </cfRule>
  </conditionalFormatting>
  <conditionalFormatting sqref="I604:I613">
    <cfRule type="expression" dxfId="367" priority="550">
      <formula>XEY604=""</formula>
    </cfRule>
    <cfRule type="expression" priority="551">
      <formula>XEY604&gt;0</formula>
    </cfRule>
    <cfRule type="cellIs" dxfId="366" priority="552" operator="greaterThan">
      <formula>0</formula>
    </cfRule>
  </conditionalFormatting>
  <conditionalFormatting sqref="I604:I613">
    <cfRule type="expression" dxfId="365" priority="547">
      <formula>XEY604=""</formula>
    </cfRule>
    <cfRule type="expression" priority="548">
      <formula>XEY604&gt;0</formula>
    </cfRule>
    <cfRule type="cellIs" dxfId="364" priority="549" operator="greaterThan">
      <formula>0</formula>
    </cfRule>
  </conditionalFormatting>
  <conditionalFormatting sqref="I604:I613">
    <cfRule type="expression" dxfId="363" priority="544">
      <formula>XEY604=""</formula>
    </cfRule>
    <cfRule type="expression" priority="545">
      <formula>XEY604&gt;0</formula>
    </cfRule>
    <cfRule type="cellIs" dxfId="362" priority="546" operator="greaterThan">
      <formula>0</formula>
    </cfRule>
  </conditionalFormatting>
  <conditionalFormatting sqref="I604:I613">
    <cfRule type="expression" dxfId="361" priority="541">
      <formula>XEY604=""</formula>
    </cfRule>
    <cfRule type="expression" priority="542">
      <formula>XEY604&gt;0</formula>
    </cfRule>
    <cfRule type="cellIs" dxfId="360" priority="543" operator="greaterThan">
      <formula>0</formula>
    </cfRule>
  </conditionalFormatting>
  <conditionalFormatting sqref="I604:I613">
    <cfRule type="expression" dxfId="359" priority="538">
      <formula>XEY604=""</formula>
    </cfRule>
    <cfRule type="expression" priority="539">
      <formula>XEY604&gt;0</formula>
    </cfRule>
    <cfRule type="cellIs" dxfId="358" priority="540" operator="greaterThan">
      <formula>0</formula>
    </cfRule>
  </conditionalFormatting>
  <conditionalFormatting sqref="I604:I613">
    <cfRule type="expression" dxfId="357" priority="535">
      <formula>XEY604=""</formula>
    </cfRule>
    <cfRule type="expression" priority="536">
      <formula>XEY604&gt;0</formula>
    </cfRule>
    <cfRule type="cellIs" dxfId="356" priority="537" operator="greaterThan">
      <formula>0</formula>
    </cfRule>
  </conditionalFormatting>
  <conditionalFormatting sqref="I604:I613">
    <cfRule type="expression" dxfId="355" priority="532">
      <formula>XEY604=""</formula>
    </cfRule>
    <cfRule type="expression" priority="533">
      <formula>XEY604&gt;0</formula>
    </cfRule>
    <cfRule type="cellIs" dxfId="354" priority="534" operator="greaterThan">
      <formula>0</formula>
    </cfRule>
  </conditionalFormatting>
  <conditionalFormatting sqref="I604:I613">
    <cfRule type="expression" dxfId="353" priority="529">
      <formula>XEY604=""</formula>
    </cfRule>
    <cfRule type="expression" priority="530">
      <formula>XEY604&gt;0</formula>
    </cfRule>
    <cfRule type="cellIs" dxfId="352" priority="531" operator="greaterThan">
      <formula>0</formula>
    </cfRule>
  </conditionalFormatting>
  <conditionalFormatting sqref="I604:I613">
    <cfRule type="expression" dxfId="351" priority="526">
      <formula>XEY604=""</formula>
    </cfRule>
    <cfRule type="expression" priority="527">
      <formula>XEY604&gt;0</formula>
    </cfRule>
    <cfRule type="cellIs" dxfId="350" priority="528" operator="greaterThan">
      <formula>0</formula>
    </cfRule>
  </conditionalFormatting>
  <conditionalFormatting sqref="I604:I613">
    <cfRule type="expression" dxfId="349" priority="523">
      <formula>XEY604=""</formula>
    </cfRule>
    <cfRule type="expression" priority="524">
      <formula>XEY604&gt;0</formula>
    </cfRule>
    <cfRule type="cellIs" dxfId="348" priority="525" operator="greaterThan">
      <formula>0</formula>
    </cfRule>
  </conditionalFormatting>
  <conditionalFormatting sqref="I604:I613">
    <cfRule type="expression" dxfId="347" priority="520">
      <formula>XEY604=""</formula>
    </cfRule>
    <cfRule type="expression" priority="521">
      <formula>XEY604&gt;0</formula>
    </cfRule>
    <cfRule type="cellIs" dxfId="346" priority="522" operator="greaterThan">
      <formula>0</formula>
    </cfRule>
  </conditionalFormatting>
  <conditionalFormatting sqref="I604:I613">
    <cfRule type="expression" dxfId="345" priority="517">
      <formula>XEY604=""</formula>
    </cfRule>
    <cfRule type="expression" priority="518">
      <formula>XEY604&gt;0</formula>
    </cfRule>
    <cfRule type="cellIs" dxfId="344" priority="519" operator="greaterThan">
      <formula>0</formula>
    </cfRule>
  </conditionalFormatting>
  <conditionalFormatting sqref="I604:I613">
    <cfRule type="expression" dxfId="343" priority="514">
      <formula>XEY604=""</formula>
    </cfRule>
    <cfRule type="expression" priority="515">
      <formula>XEY604&gt;0</formula>
    </cfRule>
    <cfRule type="cellIs" dxfId="342" priority="516" operator="greaterThan">
      <formula>0</formula>
    </cfRule>
  </conditionalFormatting>
  <conditionalFormatting sqref="I604:I613">
    <cfRule type="expression" dxfId="341" priority="511">
      <formula>XEY604=""</formula>
    </cfRule>
    <cfRule type="expression" priority="512">
      <formula>XEY604&gt;0</formula>
    </cfRule>
    <cfRule type="cellIs" dxfId="340" priority="513" operator="greaterThan">
      <formula>0</formula>
    </cfRule>
  </conditionalFormatting>
  <conditionalFormatting sqref="I604:I613">
    <cfRule type="expression" dxfId="339" priority="508">
      <formula>XEY604=""</formula>
    </cfRule>
    <cfRule type="expression" priority="509">
      <formula>XEY604&gt;0</formula>
    </cfRule>
    <cfRule type="cellIs" dxfId="338" priority="510" operator="greaterThan">
      <formula>0</formula>
    </cfRule>
  </conditionalFormatting>
  <conditionalFormatting sqref="I604:I613">
    <cfRule type="expression" dxfId="337" priority="505">
      <formula>XEY604=""</formula>
    </cfRule>
    <cfRule type="expression" priority="506">
      <formula>XEY604&gt;0</formula>
    </cfRule>
    <cfRule type="cellIs" dxfId="336" priority="507" operator="greaterThan">
      <formula>0</formula>
    </cfRule>
  </conditionalFormatting>
  <conditionalFormatting sqref="I604:I613">
    <cfRule type="expression" dxfId="335" priority="502">
      <formula>XEY604=""</formula>
    </cfRule>
    <cfRule type="expression" priority="503">
      <formula>XEY604&gt;0</formula>
    </cfRule>
    <cfRule type="cellIs" dxfId="334" priority="504" operator="greaterThan">
      <formula>0</formula>
    </cfRule>
  </conditionalFormatting>
  <conditionalFormatting sqref="I604:I613">
    <cfRule type="expression" dxfId="333" priority="499">
      <formula>XEY604=""</formula>
    </cfRule>
    <cfRule type="expression" priority="500">
      <formula>XEY604&gt;0</formula>
    </cfRule>
    <cfRule type="cellIs" dxfId="332" priority="501" operator="greaterThan">
      <formula>0</formula>
    </cfRule>
  </conditionalFormatting>
  <conditionalFormatting sqref="J604:J613">
    <cfRule type="expression" dxfId="331" priority="496">
      <formula>XEZ604=""</formula>
    </cfRule>
    <cfRule type="expression" priority="497">
      <formula>XEZ604&gt;0</formula>
    </cfRule>
    <cfRule type="cellIs" dxfId="330" priority="498" operator="greaterThan">
      <formula>0</formula>
    </cfRule>
  </conditionalFormatting>
  <conditionalFormatting sqref="J604:J613">
    <cfRule type="expression" dxfId="329" priority="493">
      <formula>XEZ604=""</formula>
    </cfRule>
    <cfRule type="expression" priority="494">
      <formula>XEZ604&gt;0</formula>
    </cfRule>
    <cfRule type="cellIs" dxfId="328" priority="495" operator="greaterThan">
      <formula>0</formula>
    </cfRule>
  </conditionalFormatting>
  <conditionalFormatting sqref="J604:J613">
    <cfRule type="expression" dxfId="327" priority="490">
      <formula>XEZ604=""</formula>
    </cfRule>
    <cfRule type="expression" priority="491">
      <formula>XEZ604&gt;0</formula>
    </cfRule>
    <cfRule type="cellIs" dxfId="326" priority="492" operator="greaterThan">
      <formula>0</formula>
    </cfRule>
  </conditionalFormatting>
  <conditionalFormatting sqref="J604:J613">
    <cfRule type="expression" dxfId="325" priority="487">
      <formula>XEZ604=""</formula>
    </cfRule>
    <cfRule type="expression" priority="488">
      <formula>XEZ604&gt;0</formula>
    </cfRule>
    <cfRule type="cellIs" dxfId="324" priority="489" operator="greaterThan">
      <formula>0</formula>
    </cfRule>
  </conditionalFormatting>
  <conditionalFormatting sqref="J604:J613">
    <cfRule type="expression" dxfId="323" priority="484">
      <formula>XEZ604=""</formula>
    </cfRule>
    <cfRule type="expression" priority="485">
      <formula>XEZ604&gt;0</formula>
    </cfRule>
    <cfRule type="cellIs" dxfId="322" priority="486" operator="greaterThan">
      <formula>0</formula>
    </cfRule>
  </conditionalFormatting>
  <conditionalFormatting sqref="J604:J613">
    <cfRule type="expression" dxfId="321" priority="481">
      <formula>XEZ604=""</formula>
    </cfRule>
    <cfRule type="expression" priority="482">
      <formula>XEZ604&gt;0</formula>
    </cfRule>
    <cfRule type="cellIs" dxfId="320" priority="483" operator="greaterThan">
      <formula>0</formula>
    </cfRule>
  </conditionalFormatting>
  <conditionalFormatting sqref="J604:J613">
    <cfRule type="expression" dxfId="319" priority="478">
      <formula>XEZ604=""</formula>
    </cfRule>
    <cfRule type="expression" priority="479">
      <formula>XEZ604&gt;0</formula>
    </cfRule>
    <cfRule type="cellIs" dxfId="318" priority="480" operator="greaterThan">
      <formula>0</formula>
    </cfRule>
  </conditionalFormatting>
  <conditionalFormatting sqref="J604:J613">
    <cfRule type="expression" dxfId="317" priority="475">
      <formula>XEZ604=""</formula>
    </cfRule>
    <cfRule type="expression" priority="476">
      <formula>XEZ604&gt;0</formula>
    </cfRule>
    <cfRule type="cellIs" dxfId="316" priority="477" operator="greaterThan">
      <formula>0</formula>
    </cfRule>
  </conditionalFormatting>
  <conditionalFormatting sqref="J604:J613">
    <cfRule type="expression" dxfId="315" priority="472">
      <formula>XEZ604=""</formula>
    </cfRule>
    <cfRule type="expression" priority="473">
      <formula>XEZ604&gt;0</formula>
    </cfRule>
    <cfRule type="cellIs" dxfId="314" priority="474" operator="greaterThan">
      <formula>0</formula>
    </cfRule>
  </conditionalFormatting>
  <conditionalFormatting sqref="J604:J613">
    <cfRule type="expression" dxfId="313" priority="469">
      <formula>XEZ604=""</formula>
    </cfRule>
    <cfRule type="expression" priority="470">
      <formula>XEZ604&gt;0</formula>
    </cfRule>
    <cfRule type="cellIs" dxfId="312" priority="471" operator="greaterThan">
      <formula>0</formula>
    </cfRule>
  </conditionalFormatting>
  <conditionalFormatting sqref="J604:J613">
    <cfRule type="expression" dxfId="311" priority="466">
      <formula>XEZ604=""</formula>
    </cfRule>
    <cfRule type="expression" priority="467">
      <formula>XEZ604&gt;0</formula>
    </cfRule>
    <cfRule type="cellIs" dxfId="310" priority="468" operator="greaterThan">
      <formula>0</formula>
    </cfRule>
  </conditionalFormatting>
  <conditionalFormatting sqref="J604:J613">
    <cfRule type="expression" dxfId="309" priority="463">
      <formula>XEZ604=""</formula>
    </cfRule>
    <cfRule type="expression" priority="464">
      <formula>XEZ604&gt;0</formula>
    </cfRule>
    <cfRule type="cellIs" dxfId="308" priority="465" operator="greaterThan">
      <formula>0</formula>
    </cfRule>
  </conditionalFormatting>
  <conditionalFormatting sqref="J604:J613">
    <cfRule type="expression" dxfId="307" priority="460">
      <formula>XEZ604=""</formula>
    </cfRule>
    <cfRule type="expression" priority="461">
      <formula>XEZ604&gt;0</formula>
    </cfRule>
    <cfRule type="cellIs" dxfId="306" priority="462" operator="greaterThan">
      <formula>0</formula>
    </cfRule>
  </conditionalFormatting>
  <conditionalFormatting sqref="J604:J613">
    <cfRule type="expression" dxfId="305" priority="457">
      <formula>XEZ604=""</formula>
    </cfRule>
    <cfRule type="expression" priority="458">
      <formula>XEZ604&gt;0</formula>
    </cfRule>
    <cfRule type="cellIs" dxfId="304" priority="459" operator="greaterThan">
      <formula>0</formula>
    </cfRule>
  </conditionalFormatting>
  <conditionalFormatting sqref="J604:J613">
    <cfRule type="expression" dxfId="303" priority="454">
      <formula>XEZ604=""</formula>
    </cfRule>
    <cfRule type="expression" priority="455">
      <formula>XEZ604&gt;0</formula>
    </cfRule>
    <cfRule type="cellIs" dxfId="302" priority="456" operator="greaterThan">
      <formula>0</formula>
    </cfRule>
  </conditionalFormatting>
  <conditionalFormatting sqref="J604:J613">
    <cfRule type="expression" dxfId="301" priority="451">
      <formula>XEZ604=""</formula>
    </cfRule>
    <cfRule type="expression" priority="452">
      <formula>XEZ604&gt;0</formula>
    </cfRule>
    <cfRule type="cellIs" dxfId="300" priority="453" operator="greaterThan">
      <formula>0</formula>
    </cfRule>
  </conditionalFormatting>
  <conditionalFormatting sqref="J604:J613">
    <cfRule type="expression" dxfId="299" priority="448">
      <formula>XEZ604=""</formula>
    </cfRule>
    <cfRule type="expression" priority="449">
      <formula>XEZ604&gt;0</formula>
    </cfRule>
    <cfRule type="cellIs" dxfId="298" priority="450" operator="greaterThan">
      <formula>0</formula>
    </cfRule>
  </conditionalFormatting>
  <conditionalFormatting sqref="J604:J613">
    <cfRule type="expression" dxfId="297" priority="445">
      <formula>XEZ604=""</formula>
    </cfRule>
    <cfRule type="expression" priority="446">
      <formula>XEZ604&gt;0</formula>
    </cfRule>
    <cfRule type="cellIs" dxfId="296" priority="447" operator="greaterThan">
      <formula>0</formula>
    </cfRule>
  </conditionalFormatting>
  <conditionalFormatting sqref="J604:J613">
    <cfRule type="expression" dxfId="295" priority="442">
      <formula>XEZ604=""</formula>
    </cfRule>
    <cfRule type="expression" priority="443">
      <formula>XEZ604&gt;0</formula>
    </cfRule>
    <cfRule type="cellIs" dxfId="294" priority="444" operator="greaterThan">
      <formula>0</formula>
    </cfRule>
  </conditionalFormatting>
  <conditionalFormatting sqref="J604:J613">
    <cfRule type="expression" dxfId="293" priority="439">
      <formula>XEZ604=""</formula>
    </cfRule>
    <cfRule type="expression" priority="440">
      <formula>XEZ604&gt;0</formula>
    </cfRule>
    <cfRule type="cellIs" dxfId="292" priority="441" operator="greaterThan">
      <formula>0</formula>
    </cfRule>
  </conditionalFormatting>
  <conditionalFormatting sqref="J604:J613">
    <cfRule type="expression" dxfId="291" priority="436">
      <formula>XEZ604=""</formula>
    </cfRule>
    <cfRule type="expression" priority="437">
      <formula>XEZ604&gt;0</formula>
    </cfRule>
    <cfRule type="cellIs" dxfId="290" priority="438" operator="greaterThan">
      <formula>0</formula>
    </cfRule>
  </conditionalFormatting>
  <conditionalFormatting sqref="J604:J613">
    <cfRule type="expression" dxfId="289" priority="433">
      <formula>XEZ604=""</formula>
    </cfRule>
    <cfRule type="expression" priority="434">
      <formula>XEZ604&gt;0</formula>
    </cfRule>
    <cfRule type="cellIs" dxfId="288" priority="435" operator="greaterThan">
      <formula>0</formula>
    </cfRule>
  </conditionalFormatting>
  <conditionalFormatting sqref="J604:J613">
    <cfRule type="expression" dxfId="287" priority="430">
      <formula>XEZ604=""</formula>
    </cfRule>
    <cfRule type="expression" priority="431">
      <formula>XEZ604&gt;0</formula>
    </cfRule>
    <cfRule type="cellIs" dxfId="286" priority="432" operator="greaterThan">
      <formula>0</formula>
    </cfRule>
  </conditionalFormatting>
  <conditionalFormatting sqref="J604:J613">
    <cfRule type="expression" dxfId="285" priority="427">
      <formula>XEZ604=""</formula>
    </cfRule>
    <cfRule type="expression" priority="428">
      <formula>XEZ604&gt;0</formula>
    </cfRule>
    <cfRule type="cellIs" dxfId="284" priority="429" operator="greaterThan">
      <formula>0</formula>
    </cfRule>
  </conditionalFormatting>
  <conditionalFormatting sqref="J604:J613">
    <cfRule type="expression" dxfId="283" priority="424">
      <formula>XEZ604=""</formula>
    </cfRule>
    <cfRule type="expression" priority="425">
      <formula>XEZ604&gt;0</formula>
    </cfRule>
    <cfRule type="cellIs" dxfId="282" priority="426" operator="greaterThan">
      <formula>0</formula>
    </cfRule>
  </conditionalFormatting>
  <conditionalFormatting sqref="J604:J613">
    <cfRule type="expression" dxfId="281" priority="421">
      <formula>XEZ604=""</formula>
    </cfRule>
    <cfRule type="expression" priority="422">
      <formula>XEZ604&gt;0</formula>
    </cfRule>
    <cfRule type="cellIs" dxfId="280" priority="423" operator="greaterThan">
      <formula>0</formula>
    </cfRule>
  </conditionalFormatting>
  <conditionalFormatting sqref="J604:J613">
    <cfRule type="expression" dxfId="279" priority="418">
      <formula>XEZ604=""</formula>
    </cfRule>
    <cfRule type="expression" priority="419">
      <formula>XEZ604&gt;0</formula>
    </cfRule>
    <cfRule type="cellIs" dxfId="278" priority="420" operator="greaterThan">
      <formula>0</formula>
    </cfRule>
  </conditionalFormatting>
  <conditionalFormatting sqref="J604:J613">
    <cfRule type="expression" dxfId="277" priority="415">
      <formula>XEZ604=""</formula>
    </cfRule>
    <cfRule type="expression" priority="416">
      <formula>XEZ604&gt;0</formula>
    </cfRule>
    <cfRule type="cellIs" dxfId="276" priority="417" operator="greaterThan">
      <formula>0</formula>
    </cfRule>
  </conditionalFormatting>
  <conditionalFormatting sqref="J604:J613">
    <cfRule type="expression" dxfId="275" priority="412">
      <formula>XEZ604=""</formula>
    </cfRule>
    <cfRule type="expression" priority="413">
      <formula>XEZ604&gt;0</formula>
    </cfRule>
    <cfRule type="cellIs" dxfId="274" priority="414" operator="greaterThan">
      <formula>0</formula>
    </cfRule>
  </conditionalFormatting>
  <conditionalFormatting sqref="J604:J613">
    <cfRule type="expression" dxfId="273" priority="409">
      <formula>XEZ604=""</formula>
    </cfRule>
    <cfRule type="expression" priority="410">
      <formula>XEZ604&gt;0</formula>
    </cfRule>
    <cfRule type="cellIs" dxfId="272" priority="411" operator="greaterThan">
      <formula>0</formula>
    </cfRule>
  </conditionalFormatting>
  <conditionalFormatting sqref="J604:J613">
    <cfRule type="expression" dxfId="271" priority="406">
      <formula>XEZ604=""</formula>
    </cfRule>
    <cfRule type="expression" priority="407">
      <formula>XEZ604&gt;0</formula>
    </cfRule>
    <cfRule type="cellIs" dxfId="270" priority="408" operator="greaterThan">
      <formula>0</formula>
    </cfRule>
  </conditionalFormatting>
  <conditionalFormatting sqref="J604:J613">
    <cfRule type="expression" dxfId="269" priority="403">
      <formula>XEZ604=""</formula>
    </cfRule>
    <cfRule type="expression" priority="404">
      <formula>XEZ604&gt;0</formula>
    </cfRule>
    <cfRule type="cellIs" dxfId="268" priority="405" operator="greaterThan">
      <formula>0</formula>
    </cfRule>
  </conditionalFormatting>
  <conditionalFormatting sqref="J604:J613">
    <cfRule type="expression" dxfId="267" priority="400">
      <formula>XEZ604=""</formula>
    </cfRule>
    <cfRule type="expression" priority="401">
      <formula>XEZ604&gt;0</formula>
    </cfRule>
    <cfRule type="cellIs" dxfId="266" priority="402" operator="greaterThan">
      <formula>0</formula>
    </cfRule>
  </conditionalFormatting>
  <conditionalFormatting sqref="J604:J613">
    <cfRule type="expression" dxfId="265" priority="397">
      <formula>XEZ604=""</formula>
    </cfRule>
    <cfRule type="expression" priority="398">
      <formula>XEZ604&gt;0</formula>
    </cfRule>
    <cfRule type="cellIs" dxfId="264" priority="399" operator="greaterThan">
      <formula>0</formula>
    </cfRule>
  </conditionalFormatting>
  <conditionalFormatting sqref="J604:J613">
    <cfRule type="expression" dxfId="263" priority="394">
      <formula>XEZ604=""</formula>
    </cfRule>
    <cfRule type="expression" priority="395">
      <formula>XEZ604&gt;0</formula>
    </cfRule>
    <cfRule type="cellIs" dxfId="262" priority="396" operator="greaterThan">
      <formula>0</formula>
    </cfRule>
  </conditionalFormatting>
  <conditionalFormatting sqref="J604:J613">
    <cfRule type="expression" dxfId="261" priority="391">
      <formula>XEZ604=""</formula>
    </cfRule>
    <cfRule type="expression" priority="392">
      <formula>XEZ604&gt;0</formula>
    </cfRule>
    <cfRule type="cellIs" dxfId="260" priority="393" operator="greaterThan">
      <formula>0</formula>
    </cfRule>
  </conditionalFormatting>
  <conditionalFormatting sqref="J604:J613">
    <cfRule type="expression" dxfId="259" priority="388">
      <formula>XEZ604=""</formula>
    </cfRule>
    <cfRule type="expression" priority="389">
      <formula>XEZ604&gt;0</formula>
    </cfRule>
    <cfRule type="cellIs" dxfId="258" priority="390" operator="greaterThan">
      <formula>0</formula>
    </cfRule>
  </conditionalFormatting>
  <conditionalFormatting sqref="J604:J613">
    <cfRule type="expression" dxfId="257" priority="385">
      <formula>XEZ604=""</formula>
    </cfRule>
    <cfRule type="expression" priority="386">
      <formula>XEZ604&gt;0</formula>
    </cfRule>
    <cfRule type="cellIs" dxfId="256" priority="387" operator="greaterThan">
      <formula>0</formula>
    </cfRule>
  </conditionalFormatting>
  <conditionalFormatting sqref="J604:J613">
    <cfRule type="expression" dxfId="255" priority="382">
      <formula>XEZ604=""</formula>
    </cfRule>
    <cfRule type="expression" priority="383">
      <formula>XEZ604&gt;0</formula>
    </cfRule>
    <cfRule type="cellIs" dxfId="254" priority="384" operator="greaterThan">
      <formula>0</formula>
    </cfRule>
  </conditionalFormatting>
  <conditionalFormatting sqref="J604:J613">
    <cfRule type="expression" dxfId="253" priority="379">
      <formula>XEZ604=""</formula>
    </cfRule>
    <cfRule type="expression" priority="380">
      <formula>XEZ604&gt;0</formula>
    </cfRule>
    <cfRule type="cellIs" dxfId="252" priority="381" operator="greaterThan">
      <formula>0</formula>
    </cfRule>
  </conditionalFormatting>
  <conditionalFormatting sqref="J604:J613">
    <cfRule type="expression" dxfId="251" priority="376">
      <formula>XEZ604=""</formula>
    </cfRule>
    <cfRule type="expression" priority="377">
      <formula>XEZ604&gt;0</formula>
    </cfRule>
    <cfRule type="cellIs" dxfId="250" priority="378" operator="greaterThan">
      <formula>0</formula>
    </cfRule>
  </conditionalFormatting>
  <conditionalFormatting sqref="J604:J613">
    <cfRule type="expression" dxfId="249" priority="373">
      <formula>XEZ604=""</formula>
    </cfRule>
    <cfRule type="expression" priority="374">
      <formula>XEZ604&gt;0</formula>
    </cfRule>
    <cfRule type="cellIs" dxfId="248" priority="375" operator="greaterThan">
      <formula>0</formula>
    </cfRule>
  </conditionalFormatting>
  <conditionalFormatting sqref="J604:J613">
    <cfRule type="expression" dxfId="247" priority="370">
      <formula>XEZ604=""</formula>
    </cfRule>
    <cfRule type="expression" priority="371">
      <formula>XEZ604&gt;0</formula>
    </cfRule>
    <cfRule type="cellIs" dxfId="246" priority="372" operator="greaterThan">
      <formula>0</formula>
    </cfRule>
  </conditionalFormatting>
  <conditionalFormatting sqref="J604:J613">
    <cfRule type="expression" dxfId="245" priority="367">
      <formula>XEZ604=""</formula>
    </cfRule>
    <cfRule type="expression" priority="368">
      <formula>XEZ604&gt;0</formula>
    </cfRule>
    <cfRule type="cellIs" dxfId="244" priority="369" operator="greaterThan">
      <formula>0</formula>
    </cfRule>
  </conditionalFormatting>
  <conditionalFormatting sqref="J604:J613">
    <cfRule type="expression" dxfId="243" priority="364">
      <formula>XEZ604=""</formula>
    </cfRule>
    <cfRule type="expression" priority="365">
      <formula>XEZ604&gt;0</formula>
    </cfRule>
    <cfRule type="cellIs" dxfId="242" priority="366" operator="greaterThan">
      <formula>0</formula>
    </cfRule>
  </conditionalFormatting>
  <conditionalFormatting sqref="J604:J613">
    <cfRule type="expression" dxfId="241" priority="361">
      <formula>XEZ604=""</formula>
    </cfRule>
    <cfRule type="expression" priority="362">
      <formula>XEZ604&gt;0</formula>
    </cfRule>
    <cfRule type="cellIs" dxfId="240" priority="363" operator="greaterThan">
      <formula>0</formula>
    </cfRule>
  </conditionalFormatting>
  <conditionalFormatting sqref="J604:J613">
    <cfRule type="expression" dxfId="239" priority="358">
      <formula>XEZ604=""</formula>
    </cfRule>
    <cfRule type="expression" priority="359">
      <formula>XEZ604&gt;0</formula>
    </cfRule>
    <cfRule type="cellIs" dxfId="238" priority="360" operator="greaterThan">
      <formula>0</formula>
    </cfRule>
  </conditionalFormatting>
  <conditionalFormatting sqref="J604:J613">
    <cfRule type="expression" dxfId="237" priority="355">
      <formula>XEZ604=""</formula>
    </cfRule>
    <cfRule type="expression" priority="356">
      <formula>XEZ604&gt;0</formula>
    </cfRule>
    <cfRule type="cellIs" dxfId="236" priority="357" operator="greaterThan">
      <formula>0</formula>
    </cfRule>
  </conditionalFormatting>
  <conditionalFormatting sqref="J604:J613">
    <cfRule type="expression" dxfId="235" priority="352">
      <formula>XEZ604=""</formula>
    </cfRule>
    <cfRule type="expression" priority="353">
      <formula>XEZ604&gt;0</formula>
    </cfRule>
    <cfRule type="cellIs" dxfId="234" priority="354" operator="greaterThan">
      <formula>0</formula>
    </cfRule>
  </conditionalFormatting>
  <conditionalFormatting sqref="J604:J613">
    <cfRule type="expression" dxfId="233" priority="349">
      <formula>XEZ604=""</formula>
    </cfRule>
    <cfRule type="expression" priority="350">
      <formula>XEZ604&gt;0</formula>
    </cfRule>
    <cfRule type="cellIs" dxfId="232" priority="351" operator="greaterThan">
      <formula>0</formula>
    </cfRule>
  </conditionalFormatting>
  <conditionalFormatting sqref="J604:J613">
    <cfRule type="expression" dxfId="231" priority="346">
      <formula>XEZ604=""</formula>
    </cfRule>
    <cfRule type="expression" priority="347">
      <formula>XEZ604&gt;0</formula>
    </cfRule>
    <cfRule type="cellIs" dxfId="230" priority="348" operator="greaterThan">
      <formula>0</formula>
    </cfRule>
  </conditionalFormatting>
  <conditionalFormatting sqref="J604:J613">
    <cfRule type="expression" dxfId="229" priority="343">
      <formula>XEZ604=""</formula>
    </cfRule>
    <cfRule type="expression" priority="344">
      <formula>XEZ604&gt;0</formula>
    </cfRule>
    <cfRule type="cellIs" dxfId="228" priority="345" operator="greaterThan">
      <formula>0</formula>
    </cfRule>
  </conditionalFormatting>
  <conditionalFormatting sqref="J604:J613">
    <cfRule type="expression" dxfId="227" priority="340">
      <formula>XEZ604=""</formula>
    </cfRule>
    <cfRule type="expression" priority="341">
      <formula>XEZ604&gt;0</formula>
    </cfRule>
    <cfRule type="cellIs" dxfId="226" priority="342" operator="greaterThan">
      <formula>0</formula>
    </cfRule>
  </conditionalFormatting>
  <conditionalFormatting sqref="J604:J613">
    <cfRule type="expression" dxfId="225" priority="337">
      <formula>XEZ604=""</formula>
    </cfRule>
    <cfRule type="expression" priority="338">
      <formula>XEZ604&gt;0</formula>
    </cfRule>
    <cfRule type="cellIs" dxfId="224" priority="339" operator="greaterThan">
      <formula>0</formula>
    </cfRule>
  </conditionalFormatting>
  <conditionalFormatting sqref="J604:J613">
    <cfRule type="expression" dxfId="223" priority="334">
      <formula>XEZ604=""</formula>
    </cfRule>
    <cfRule type="expression" priority="335">
      <formula>XEZ604&gt;0</formula>
    </cfRule>
    <cfRule type="cellIs" dxfId="222" priority="336" operator="greaterThan">
      <formula>0</formula>
    </cfRule>
  </conditionalFormatting>
  <conditionalFormatting sqref="K604:K613">
    <cfRule type="expression" dxfId="221" priority="331">
      <formula>XFA604=""</formula>
    </cfRule>
    <cfRule type="expression" priority="332">
      <formula>XFA604&gt;0</formula>
    </cfRule>
    <cfRule type="cellIs" dxfId="220" priority="333" operator="greaterThan">
      <formula>0</formula>
    </cfRule>
  </conditionalFormatting>
  <conditionalFormatting sqref="K604:K613">
    <cfRule type="expression" dxfId="219" priority="328">
      <formula>XFA604=""</formula>
    </cfRule>
    <cfRule type="expression" priority="329">
      <formula>XFA604&gt;0</formula>
    </cfRule>
    <cfRule type="cellIs" dxfId="218" priority="330" operator="greaterThan">
      <formula>0</formula>
    </cfRule>
  </conditionalFormatting>
  <conditionalFormatting sqref="K604:K613">
    <cfRule type="expression" dxfId="217" priority="325">
      <formula>XFA604=""</formula>
    </cfRule>
    <cfRule type="expression" priority="326">
      <formula>XFA604&gt;0</formula>
    </cfRule>
    <cfRule type="cellIs" dxfId="216" priority="327" operator="greaterThan">
      <formula>0</formula>
    </cfRule>
  </conditionalFormatting>
  <conditionalFormatting sqref="K604:K613">
    <cfRule type="expression" dxfId="215" priority="322">
      <formula>XFA604=""</formula>
    </cfRule>
    <cfRule type="expression" priority="323">
      <formula>XFA604&gt;0</formula>
    </cfRule>
    <cfRule type="cellIs" dxfId="214" priority="324" operator="greaterThan">
      <formula>0</formula>
    </cfRule>
  </conditionalFormatting>
  <conditionalFormatting sqref="K604:K613">
    <cfRule type="expression" dxfId="213" priority="319">
      <formula>XFA604=""</formula>
    </cfRule>
    <cfRule type="expression" priority="320">
      <formula>XFA604&gt;0</formula>
    </cfRule>
    <cfRule type="cellIs" dxfId="212" priority="321" operator="greaterThan">
      <formula>0</formula>
    </cfRule>
  </conditionalFormatting>
  <conditionalFormatting sqref="K604:K613">
    <cfRule type="expression" dxfId="211" priority="316">
      <formula>XFA604=""</formula>
    </cfRule>
    <cfRule type="expression" priority="317">
      <formula>XFA604&gt;0</formula>
    </cfRule>
    <cfRule type="cellIs" dxfId="210" priority="318" operator="greaterThan">
      <formula>0</formula>
    </cfRule>
  </conditionalFormatting>
  <conditionalFormatting sqref="K604:K613">
    <cfRule type="expression" dxfId="209" priority="313">
      <formula>XFA604=""</formula>
    </cfRule>
    <cfRule type="expression" priority="314">
      <formula>XFA604&gt;0</formula>
    </cfRule>
    <cfRule type="cellIs" dxfId="208" priority="315" operator="greaterThan">
      <formula>0</formula>
    </cfRule>
  </conditionalFormatting>
  <conditionalFormatting sqref="K604:K613">
    <cfRule type="expression" dxfId="207" priority="310">
      <formula>XFA604=""</formula>
    </cfRule>
    <cfRule type="expression" priority="311">
      <formula>XFA604&gt;0</formula>
    </cfRule>
    <cfRule type="cellIs" dxfId="206" priority="312" operator="greaterThan">
      <formula>0</formula>
    </cfRule>
  </conditionalFormatting>
  <conditionalFormatting sqref="K604:K613">
    <cfRule type="expression" dxfId="205" priority="307">
      <formula>XFA604=""</formula>
    </cfRule>
    <cfRule type="expression" priority="308">
      <formula>XFA604&gt;0</formula>
    </cfRule>
    <cfRule type="cellIs" dxfId="204" priority="309" operator="greaterThan">
      <formula>0</formula>
    </cfRule>
  </conditionalFormatting>
  <conditionalFormatting sqref="K604:K613">
    <cfRule type="expression" dxfId="203" priority="304">
      <formula>XFA604=""</formula>
    </cfRule>
    <cfRule type="expression" priority="305">
      <formula>XFA604&gt;0</formula>
    </cfRule>
    <cfRule type="cellIs" dxfId="202" priority="306" operator="greaterThan">
      <formula>0</formula>
    </cfRule>
  </conditionalFormatting>
  <conditionalFormatting sqref="K604:K613">
    <cfRule type="expression" dxfId="201" priority="301">
      <formula>XFA604=""</formula>
    </cfRule>
    <cfRule type="expression" priority="302">
      <formula>XFA604&gt;0</formula>
    </cfRule>
    <cfRule type="cellIs" dxfId="200" priority="303" operator="greaterThan">
      <formula>0</formula>
    </cfRule>
  </conditionalFormatting>
  <conditionalFormatting sqref="K604:K613">
    <cfRule type="expression" dxfId="199" priority="298">
      <formula>XFA604=""</formula>
    </cfRule>
    <cfRule type="expression" priority="299">
      <formula>XFA604&gt;0</formula>
    </cfRule>
    <cfRule type="cellIs" dxfId="198" priority="300" operator="greaterThan">
      <formula>0</formula>
    </cfRule>
  </conditionalFormatting>
  <conditionalFormatting sqref="K604:K613">
    <cfRule type="expression" dxfId="197" priority="295">
      <formula>XFA604=""</formula>
    </cfRule>
    <cfRule type="expression" priority="296">
      <formula>XFA604&gt;0</formula>
    </cfRule>
    <cfRule type="cellIs" dxfId="196" priority="297" operator="greaterThan">
      <formula>0</formula>
    </cfRule>
  </conditionalFormatting>
  <conditionalFormatting sqref="K604:K613">
    <cfRule type="expression" dxfId="195" priority="292">
      <formula>XFA604=""</formula>
    </cfRule>
    <cfRule type="expression" priority="293">
      <formula>XFA604&gt;0</formula>
    </cfRule>
    <cfRule type="cellIs" dxfId="194" priority="294" operator="greaterThan">
      <formula>0</formula>
    </cfRule>
  </conditionalFormatting>
  <conditionalFormatting sqref="K604:K613">
    <cfRule type="expression" dxfId="193" priority="289">
      <formula>XFA604=""</formula>
    </cfRule>
    <cfRule type="expression" priority="290">
      <formula>XFA604&gt;0</formula>
    </cfRule>
    <cfRule type="cellIs" dxfId="192" priority="291" operator="greaterThan">
      <formula>0</formula>
    </cfRule>
  </conditionalFormatting>
  <conditionalFormatting sqref="K604:K613">
    <cfRule type="expression" dxfId="191" priority="286">
      <formula>XFA604=""</formula>
    </cfRule>
    <cfRule type="expression" priority="287">
      <formula>XFA604&gt;0</formula>
    </cfRule>
    <cfRule type="cellIs" dxfId="190" priority="288" operator="greaterThan">
      <formula>0</formula>
    </cfRule>
  </conditionalFormatting>
  <conditionalFormatting sqref="K604:K613">
    <cfRule type="expression" dxfId="189" priority="283">
      <formula>XFA604=""</formula>
    </cfRule>
    <cfRule type="expression" priority="284">
      <formula>XFA604&gt;0</formula>
    </cfRule>
    <cfRule type="cellIs" dxfId="188" priority="285" operator="greaterThan">
      <formula>0</formula>
    </cfRule>
  </conditionalFormatting>
  <conditionalFormatting sqref="K604:K613">
    <cfRule type="expression" dxfId="187" priority="280">
      <formula>XFA604=""</formula>
    </cfRule>
    <cfRule type="expression" priority="281">
      <formula>XFA604&gt;0</formula>
    </cfRule>
    <cfRule type="cellIs" dxfId="186" priority="282" operator="greaterThan">
      <formula>0</formula>
    </cfRule>
  </conditionalFormatting>
  <conditionalFormatting sqref="K604:K613">
    <cfRule type="expression" dxfId="185" priority="277">
      <formula>XFA604=""</formula>
    </cfRule>
    <cfRule type="expression" priority="278">
      <formula>XFA604&gt;0</formula>
    </cfRule>
    <cfRule type="cellIs" dxfId="184" priority="279" operator="greaterThan">
      <formula>0</formula>
    </cfRule>
  </conditionalFormatting>
  <conditionalFormatting sqref="K604:K613">
    <cfRule type="expression" dxfId="183" priority="274">
      <formula>XFA604=""</formula>
    </cfRule>
    <cfRule type="expression" priority="275">
      <formula>XFA604&gt;0</formula>
    </cfRule>
    <cfRule type="cellIs" dxfId="182" priority="276" operator="greaterThan">
      <formula>0</formula>
    </cfRule>
  </conditionalFormatting>
  <conditionalFormatting sqref="K604:K613">
    <cfRule type="expression" dxfId="181" priority="271">
      <formula>XFA604=""</formula>
    </cfRule>
    <cfRule type="expression" priority="272">
      <formula>XFA604&gt;0</formula>
    </cfRule>
    <cfRule type="cellIs" dxfId="180" priority="273" operator="greaterThan">
      <formula>0</formula>
    </cfRule>
  </conditionalFormatting>
  <conditionalFormatting sqref="K604:K613">
    <cfRule type="expression" dxfId="179" priority="268">
      <formula>XFA604=""</formula>
    </cfRule>
    <cfRule type="expression" priority="269">
      <formula>XFA604&gt;0</formula>
    </cfRule>
    <cfRule type="cellIs" dxfId="178" priority="270" operator="greaterThan">
      <formula>0</formula>
    </cfRule>
  </conditionalFormatting>
  <conditionalFormatting sqref="K604:K613">
    <cfRule type="expression" dxfId="177" priority="265">
      <formula>XFA604=""</formula>
    </cfRule>
    <cfRule type="expression" priority="266">
      <formula>XFA604&gt;0</formula>
    </cfRule>
    <cfRule type="cellIs" dxfId="176" priority="267" operator="greaterThan">
      <formula>0</formula>
    </cfRule>
  </conditionalFormatting>
  <conditionalFormatting sqref="K604:K613">
    <cfRule type="expression" dxfId="175" priority="262">
      <formula>XFA604=""</formula>
    </cfRule>
    <cfRule type="expression" priority="263">
      <formula>XFA604&gt;0</formula>
    </cfRule>
    <cfRule type="cellIs" dxfId="174" priority="264" operator="greaterThan">
      <formula>0</formula>
    </cfRule>
  </conditionalFormatting>
  <conditionalFormatting sqref="K604:K613">
    <cfRule type="expression" dxfId="173" priority="259">
      <formula>XFA604=""</formula>
    </cfRule>
    <cfRule type="expression" priority="260">
      <formula>XFA604&gt;0</formula>
    </cfRule>
    <cfRule type="cellIs" dxfId="172" priority="261" operator="greaterThan">
      <formula>0</formula>
    </cfRule>
  </conditionalFormatting>
  <conditionalFormatting sqref="K604:K613">
    <cfRule type="expression" dxfId="171" priority="256">
      <formula>XFA604=""</formula>
    </cfRule>
    <cfRule type="expression" priority="257">
      <formula>XFA604&gt;0</formula>
    </cfRule>
    <cfRule type="cellIs" dxfId="170" priority="258" operator="greaterThan">
      <formula>0</formula>
    </cfRule>
  </conditionalFormatting>
  <conditionalFormatting sqref="K604:K613">
    <cfRule type="expression" dxfId="169" priority="253">
      <formula>XFA604=""</formula>
    </cfRule>
    <cfRule type="expression" priority="254">
      <formula>XFA604&gt;0</formula>
    </cfRule>
    <cfRule type="cellIs" dxfId="168" priority="255" operator="greaterThan">
      <formula>0</formula>
    </cfRule>
  </conditionalFormatting>
  <conditionalFormatting sqref="K604:K613">
    <cfRule type="expression" dxfId="167" priority="250">
      <formula>XFA604=""</formula>
    </cfRule>
    <cfRule type="expression" priority="251">
      <formula>XFA604&gt;0</formula>
    </cfRule>
    <cfRule type="cellIs" dxfId="166" priority="252" operator="greaterThan">
      <formula>0</formula>
    </cfRule>
  </conditionalFormatting>
  <conditionalFormatting sqref="K604:K613">
    <cfRule type="expression" dxfId="165" priority="247">
      <formula>XFA604=""</formula>
    </cfRule>
    <cfRule type="expression" priority="248">
      <formula>XFA604&gt;0</formula>
    </cfRule>
    <cfRule type="cellIs" dxfId="164" priority="249" operator="greaterThan">
      <formula>0</formula>
    </cfRule>
  </conditionalFormatting>
  <conditionalFormatting sqref="K604:K613">
    <cfRule type="expression" dxfId="163" priority="244">
      <formula>XFA604=""</formula>
    </cfRule>
    <cfRule type="expression" priority="245">
      <formula>XFA604&gt;0</formula>
    </cfRule>
    <cfRule type="cellIs" dxfId="162" priority="246" operator="greaterThan">
      <formula>0</formula>
    </cfRule>
  </conditionalFormatting>
  <conditionalFormatting sqref="K604:K613">
    <cfRule type="expression" dxfId="161" priority="241">
      <formula>XFA604=""</formula>
    </cfRule>
    <cfRule type="expression" priority="242">
      <formula>XFA604&gt;0</formula>
    </cfRule>
    <cfRule type="cellIs" dxfId="160" priority="243" operator="greaterThan">
      <formula>0</formula>
    </cfRule>
  </conditionalFormatting>
  <conditionalFormatting sqref="K604:K613">
    <cfRule type="expression" dxfId="159" priority="238">
      <formula>XFA604=""</formula>
    </cfRule>
    <cfRule type="expression" priority="239">
      <formula>XFA604&gt;0</formula>
    </cfRule>
    <cfRule type="cellIs" dxfId="158" priority="240" operator="greaterThan">
      <formula>0</formula>
    </cfRule>
  </conditionalFormatting>
  <conditionalFormatting sqref="K604:K613">
    <cfRule type="expression" dxfId="157" priority="235">
      <formula>XFA604=""</formula>
    </cfRule>
    <cfRule type="expression" priority="236">
      <formula>XFA604&gt;0</formula>
    </cfRule>
    <cfRule type="cellIs" dxfId="156" priority="237" operator="greaterThan">
      <formula>0</formula>
    </cfRule>
  </conditionalFormatting>
  <conditionalFormatting sqref="K604:K613">
    <cfRule type="expression" dxfId="155" priority="232">
      <formula>XFA604=""</formula>
    </cfRule>
    <cfRule type="expression" priority="233">
      <formula>XFA604&gt;0</formula>
    </cfRule>
    <cfRule type="cellIs" dxfId="154" priority="234" operator="greaterThan">
      <formula>0</formula>
    </cfRule>
  </conditionalFormatting>
  <conditionalFormatting sqref="K604:K613">
    <cfRule type="expression" dxfId="153" priority="229">
      <formula>XFA604=""</formula>
    </cfRule>
    <cfRule type="expression" priority="230">
      <formula>XFA604&gt;0</formula>
    </cfRule>
    <cfRule type="cellIs" dxfId="152" priority="231" operator="greaterThan">
      <formula>0</formula>
    </cfRule>
  </conditionalFormatting>
  <conditionalFormatting sqref="K604:K613">
    <cfRule type="expression" dxfId="151" priority="226">
      <formula>XFA604=""</formula>
    </cfRule>
    <cfRule type="expression" priority="227">
      <formula>XFA604&gt;0</formula>
    </cfRule>
    <cfRule type="cellIs" dxfId="150" priority="228" operator="greaterThan">
      <formula>0</formula>
    </cfRule>
  </conditionalFormatting>
  <conditionalFormatting sqref="K604:K613">
    <cfRule type="expression" dxfId="149" priority="223">
      <formula>XFA604=""</formula>
    </cfRule>
    <cfRule type="expression" priority="224">
      <formula>XFA604&gt;0</formula>
    </cfRule>
    <cfRule type="cellIs" dxfId="148" priority="225" operator="greaterThan">
      <formula>0</formula>
    </cfRule>
  </conditionalFormatting>
  <conditionalFormatting sqref="K604:K613">
    <cfRule type="expression" dxfId="147" priority="220">
      <formula>XFA604=""</formula>
    </cfRule>
    <cfRule type="expression" priority="221">
      <formula>XFA604&gt;0</formula>
    </cfRule>
    <cfRule type="cellIs" dxfId="146" priority="222" operator="greaterThan">
      <formula>0</formula>
    </cfRule>
  </conditionalFormatting>
  <conditionalFormatting sqref="K604:K613">
    <cfRule type="expression" dxfId="145" priority="217">
      <formula>XFA604=""</formula>
    </cfRule>
    <cfRule type="expression" priority="218">
      <formula>XFA604&gt;0</formula>
    </cfRule>
    <cfRule type="cellIs" dxfId="144" priority="219" operator="greaterThan">
      <formula>0</formula>
    </cfRule>
  </conditionalFormatting>
  <conditionalFormatting sqref="K604:K613">
    <cfRule type="expression" dxfId="143" priority="214">
      <formula>XFA604=""</formula>
    </cfRule>
    <cfRule type="expression" priority="215">
      <formula>XFA604&gt;0</formula>
    </cfRule>
    <cfRule type="cellIs" dxfId="142" priority="216" operator="greaterThan">
      <formula>0</formula>
    </cfRule>
  </conditionalFormatting>
  <conditionalFormatting sqref="K604:K613">
    <cfRule type="expression" dxfId="141" priority="211">
      <formula>XFA604=""</formula>
    </cfRule>
    <cfRule type="expression" priority="212">
      <formula>XFA604&gt;0</formula>
    </cfRule>
    <cfRule type="cellIs" dxfId="140" priority="213" operator="greaterThan">
      <formula>0</formula>
    </cfRule>
  </conditionalFormatting>
  <conditionalFormatting sqref="K604:K613">
    <cfRule type="expression" dxfId="139" priority="208">
      <formula>XFA604=""</formula>
    </cfRule>
    <cfRule type="expression" priority="209">
      <formula>XFA604&gt;0</formula>
    </cfRule>
    <cfRule type="cellIs" dxfId="138" priority="210" operator="greaterThan">
      <formula>0</formula>
    </cfRule>
  </conditionalFormatting>
  <conditionalFormatting sqref="K604:K613">
    <cfRule type="expression" dxfId="137" priority="205">
      <formula>XFA604=""</formula>
    </cfRule>
    <cfRule type="expression" priority="206">
      <formula>XFA604&gt;0</formula>
    </cfRule>
    <cfRule type="cellIs" dxfId="136" priority="207" operator="greaterThan">
      <formula>0</formula>
    </cfRule>
  </conditionalFormatting>
  <conditionalFormatting sqref="K604:K613">
    <cfRule type="expression" dxfId="135" priority="202">
      <formula>XFA604=""</formula>
    </cfRule>
    <cfRule type="expression" priority="203">
      <formula>XFA604&gt;0</formula>
    </cfRule>
    <cfRule type="cellIs" dxfId="134" priority="204" operator="greaterThan">
      <formula>0</formula>
    </cfRule>
  </conditionalFormatting>
  <conditionalFormatting sqref="K604:K613">
    <cfRule type="expression" dxfId="133" priority="199">
      <formula>XFA604=""</formula>
    </cfRule>
    <cfRule type="expression" priority="200">
      <formula>XFA604&gt;0</formula>
    </cfRule>
    <cfRule type="cellIs" dxfId="132" priority="201" operator="greaterThan">
      <formula>0</formula>
    </cfRule>
  </conditionalFormatting>
  <conditionalFormatting sqref="K604:K613">
    <cfRule type="expression" dxfId="131" priority="196">
      <formula>XFA604=""</formula>
    </cfRule>
    <cfRule type="expression" priority="197">
      <formula>XFA604&gt;0</formula>
    </cfRule>
    <cfRule type="cellIs" dxfId="130" priority="198" operator="greaterThan">
      <formula>0</formula>
    </cfRule>
  </conditionalFormatting>
  <conditionalFormatting sqref="K604:K613">
    <cfRule type="expression" dxfId="129" priority="193">
      <formula>XFA604=""</formula>
    </cfRule>
    <cfRule type="expression" priority="194">
      <formula>XFA604&gt;0</formula>
    </cfRule>
    <cfRule type="cellIs" dxfId="128" priority="195" operator="greaterThan">
      <formula>0</formula>
    </cfRule>
  </conditionalFormatting>
  <conditionalFormatting sqref="K604:K613">
    <cfRule type="expression" dxfId="127" priority="190">
      <formula>XFA604=""</formula>
    </cfRule>
    <cfRule type="expression" priority="191">
      <formula>XFA604&gt;0</formula>
    </cfRule>
    <cfRule type="cellIs" dxfId="126" priority="192" operator="greaterThan">
      <formula>0</formula>
    </cfRule>
  </conditionalFormatting>
  <conditionalFormatting sqref="K604:K613">
    <cfRule type="expression" dxfId="125" priority="187">
      <formula>XFA604=""</formula>
    </cfRule>
    <cfRule type="expression" priority="188">
      <formula>XFA604&gt;0</formula>
    </cfRule>
    <cfRule type="cellIs" dxfId="124" priority="189" operator="greaterThan">
      <formula>0</formula>
    </cfRule>
  </conditionalFormatting>
  <conditionalFormatting sqref="K604:K613">
    <cfRule type="expression" dxfId="123" priority="184">
      <formula>XFA604=""</formula>
    </cfRule>
    <cfRule type="expression" priority="185">
      <formula>XFA604&gt;0</formula>
    </cfRule>
    <cfRule type="cellIs" dxfId="122" priority="186" operator="greaterThan">
      <formula>0</formula>
    </cfRule>
  </conditionalFormatting>
  <conditionalFormatting sqref="K604:K613">
    <cfRule type="expression" dxfId="121" priority="181">
      <formula>XFA604=""</formula>
    </cfRule>
    <cfRule type="expression" priority="182">
      <formula>XFA604&gt;0</formula>
    </cfRule>
    <cfRule type="cellIs" dxfId="120" priority="183" operator="greaterThan">
      <formula>0</formula>
    </cfRule>
  </conditionalFormatting>
  <conditionalFormatting sqref="K604:K613">
    <cfRule type="expression" dxfId="119" priority="178">
      <formula>XFA604=""</formula>
    </cfRule>
    <cfRule type="expression" priority="179">
      <formula>XFA604&gt;0</formula>
    </cfRule>
    <cfRule type="cellIs" dxfId="118" priority="180" operator="greaterThan">
      <formula>0</formula>
    </cfRule>
  </conditionalFormatting>
  <conditionalFormatting sqref="K604:K613">
    <cfRule type="expression" dxfId="117" priority="175">
      <formula>XFA604=""</formula>
    </cfRule>
    <cfRule type="expression" priority="176">
      <formula>XFA604&gt;0</formula>
    </cfRule>
    <cfRule type="cellIs" dxfId="116" priority="177" operator="greaterThan">
      <formula>0</formula>
    </cfRule>
  </conditionalFormatting>
  <conditionalFormatting sqref="K604:K613">
    <cfRule type="expression" dxfId="115" priority="172">
      <formula>XFA604=""</formula>
    </cfRule>
    <cfRule type="expression" priority="173">
      <formula>XFA604&gt;0</formula>
    </cfRule>
    <cfRule type="cellIs" dxfId="114" priority="174" operator="greaterThan">
      <formula>0</formula>
    </cfRule>
  </conditionalFormatting>
  <conditionalFormatting sqref="K604:K613">
    <cfRule type="expression" dxfId="113" priority="169">
      <formula>XFA604=""</formula>
    </cfRule>
    <cfRule type="expression" priority="170">
      <formula>XFA604&gt;0</formula>
    </cfRule>
    <cfRule type="cellIs" dxfId="112" priority="171" operator="greaterThan">
      <formula>0</formula>
    </cfRule>
  </conditionalFormatting>
  <conditionalFormatting sqref="L604:L613">
    <cfRule type="expression" dxfId="111" priority="166">
      <formula>B604=""</formula>
    </cfRule>
    <cfRule type="expression" priority="167">
      <formula>B604&gt;0</formula>
    </cfRule>
    <cfRule type="cellIs" dxfId="110" priority="168" operator="greaterThan">
      <formula>0</formula>
    </cfRule>
  </conditionalFormatting>
  <conditionalFormatting sqref="L604:L613">
    <cfRule type="expression" dxfId="109" priority="163">
      <formula>B604=""</formula>
    </cfRule>
    <cfRule type="expression" priority="164">
      <formula>B604&gt;0</formula>
    </cfRule>
    <cfRule type="cellIs" dxfId="108" priority="165" operator="greaterThan">
      <formula>0</formula>
    </cfRule>
  </conditionalFormatting>
  <conditionalFormatting sqref="L604:L613">
    <cfRule type="expression" dxfId="107" priority="160">
      <formula>B604=""</formula>
    </cfRule>
    <cfRule type="expression" priority="161">
      <formula>B604&gt;0</formula>
    </cfRule>
    <cfRule type="cellIs" dxfId="106" priority="162" operator="greaterThan">
      <formula>0</formula>
    </cfRule>
  </conditionalFormatting>
  <conditionalFormatting sqref="L604:L613">
    <cfRule type="expression" dxfId="105" priority="157">
      <formula>B604=""</formula>
    </cfRule>
    <cfRule type="expression" priority="158">
      <formula>B604&gt;0</formula>
    </cfRule>
    <cfRule type="cellIs" dxfId="104" priority="159" operator="greaterThan">
      <formula>0</formula>
    </cfRule>
  </conditionalFormatting>
  <conditionalFormatting sqref="L604:L613">
    <cfRule type="expression" dxfId="103" priority="154">
      <formula>B604=""</formula>
    </cfRule>
    <cfRule type="expression" priority="155">
      <formula>B604&gt;0</formula>
    </cfRule>
    <cfRule type="cellIs" dxfId="102" priority="156" operator="greaterThan">
      <formula>0</formula>
    </cfRule>
  </conditionalFormatting>
  <conditionalFormatting sqref="L604:L613">
    <cfRule type="expression" dxfId="101" priority="151">
      <formula>B604=""</formula>
    </cfRule>
    <cfRule type="expression" priority="152">
      <formula>B604&gt;0</formula>
    </cfRule>
    <cfRule type="cellIs" dxfId="100" priority="153" operator="greaterThan">
      <formula>0</formula>
    </cfRule>
  </conditionalFormatting>
  <conditionalFormatting sqref="L604:L613">
    <cfRule type="expression" dxfId="99" priority="148">
      <formula>B604=""</formula>
    </cfRule>
    <cfRule type="expression" priority="149">
      <formula>B604&gt;0</formula>
    </cfRule>
    <cfRule type="cellIs" dxfId="98" priority="150" operator="greaterThan">
      <formula>0</formula>
    </cfRule>
  </conditionalFormatting>
  <conditionalFormatting sqref="L604:L613">
    <cfRule type="expression" dxfId="97" priority="145">
      <formula>B604=""</formula>
    </cfRule>
    <cfRule type="expression" priority="146">
      <formula>B604&gt;0</formula>
    </cfRule>
    <cfRule type="cellIs" dxfId="96" priority="147" operator="greaterThan">
      <formula>0</formula>
    </cfRule>
  </conditionalFormatting>
  <conditionalFormatting sqref="L604:L613">
    <cfRule type="expression" dxfId="95" priority="142">
      <formula>B604=""</formula>
    </cfRule>
    <cfRule type="expression" priority="143">
      <formula>B604&gt;0</formula>
    </cfRule>
    <cfRule type="cellIs" dxfId="94" priority="144" operator="greaterThan">
      <formula>0</formula>
    </cfRule>
  </conditionalFormatting>
  <conditionalFormatting sqref="L604:L613">
    <cfRule type="expression" dxfId="93" priority="139">
      <formula>B604=""</formula>
    </cfRule>
    <cfRule type="expression" priority="140">
      <formula>B604&gt;0</formula>
    </cfRule>
    <cfRule type="cellIs" dxfId="92" priority="141" operator="greaterThan">
      <formula>0</formula>
    </cfRule>
  </conditionalFormatting>
  <conditionalFormatting sqref="L604:L613">
    <cfRule type="expression" dxfId="91" priority="136">
      <formula>B604=""</formula>
    </cfRule>
    <cfRule type="expression" priority="137">
      <formula>B604&gt;0</formula>
    </cfRule>
    <cfRule type="cellIs" dxfId="90" priority="138" operator="greaterThan">
      <formula>0</formula>
    </cfRule>
  </conditionalFormatting>
  <conditionalFormatting sqref="L604:L613">
    <cfRule type="expression" dxfId="89" priority="133">
      <formula>B604=""</formula>
    </cfRule>
    <cfRule type="expression" priority="134">
      <formula>B604&gt;0</formula>
    </cfRule>
    <cfRule type="cellIs" dxfId="88" priority="135" operator="greaterThan">
      <formula>0</formula>
    </cfRule>
  </conditionalFormatting>
  <conditionalFormatting sqref="L604:L613">
    <cfRule type="expression" dxfId="87" priority="130">
      <formula>B604=""</formula>
    </cfRule>
    <cfRule type="expression" priority="131">
      <formula>B604&gt;0</formula>
    </cfRule>
    <cfRule type="cellIs" dxfId="86" priority="132" operator="greaterThan">
      <formula>0</formula>
    </cfRule>
  </conditionalFormatting>
  <conditionalFormatting sqref="L604:L613">
    <cfRule type="expression" dxfId="85" priority="127">
      <formula>B604=""</formula>
    </cfRule>
    <cfRule type="expression" priority="128">
      <formula>B604&gt;0</formula>
    </cfRule>
    <cfRule type="cellIs" dxfId="84" priority="129" operator="greaterThan">
      <formula>0</formula>
    </cfRule>
  </conditionalFormatting>
  <conditionalFormatting sqref="L604:L613">
    <cfRule type="expression" dxfId="83" priority="124">
      <formula>B604=""</formula>
    </cfRule>
    <cfRule type="expression" priority="125">
      <formula>B604&gt;0</formula>
    </cfRule>
    <cfRule type="cellIs" dxfId="82" priority="126" operator="greaterThan">
      <formula>0</formula>
    </cfRule>
  </conditionalFormatting>
  <conditionalFormatting sqref="L604:L613">
    <cfRule type="expression" dxfId="81" priority="121">
      <formula>B604=""</formula>
    </cfRule>
    <cfRule type="expression" priority="122">
      <formula>B604&gt;0</formula>
    </cfRule>
    <cfRule type="cellIs" dxfId="80" priority="123" operator="greaterThan">
      <formula>0</formula>
    </cfRule>
  </conditionalFormatting>
  <conditionalFormatting sqref="L604:L613">
    <cfRule type="expression" dxfId="79" priority="118">
      <formula>B604=""</formula>
    </cfRule>
    <cfRule type="expression" priority="119">
      <formula>B604&gt;0</formula>
    </cfRule>
    <cfRule type="cellIs" dxfId="78" priority="120" operator="greaterThan">
      <formula>0</formula>
    </cfRule>
  </conditionalFormatting>
  <conditionalFormatting sqref="L604:L613">
    <cfRule type="expression" dxfId="77" priority="115">
      <formula>B604=""</formula>
    </cfRule>
    <cfRule type="expression" priority="116">
      <formula>B604&gt;0</formula>
    </cfRule>
    <cfRule type="cellIs" dxfId="76" priority="117" operator="greaterThan">
      <formula>0</formula>
    </cfRule>
  </conditionalFormatting>
  <conditionalFormatting sqref="L604:L613">
    <cfRule type="expression" dxfId="75" priority="112">
      <formula>B604=""</formula>
    </cfRule>
    <cfRule type="expression" priority="113">
      <formula>B604&gt;0</formula>
    </cfRule>
    <cfRule type="cellIs" dxfId="74" priority="114" operator="greaterThan">
      <formula>0</formula>
    </cfRule>
  </conditionalFormatting>
  <conditionalFormatting sqref="L604:L613">
    <cfRule type="expression" dxfId="73" priority="109">
      <formula>B604=""</formula>
    </cfRule>
    <cfRule type="expression" priority="110">
      <formula>B604&gt;0</formula>
    </cfRule>
    <cfRule type="cellIs" dxfId="72" priority="111" operator="greaterThan">
      <formula>0</formula>
    </cfRule>
  </conditionalFormatting>
  <conditionalFormatting sqref="L604:L613">
    <cfRule type="expression" dxfId="71" priority="106">
      <formula>B604=""</formula>
    </cfRule>
    <cfRule type="expression" priority="107">
      <formula>B604&gt;0</formula>
    </cfRule>
    <cfRule type="cellIs" dxfId="70" priority="108" operator="greaterThan">
      <formula>0</formula>
    </cfRule>
  </conditionalFormatting>
  <conditionalFormatting sqref="L604:L613">
    <cfRule type="expression" dxfId="69" priority="103">
      <formula>B604=""</formula>
    </cfRule>
    <cfRule type="expression" priority="104">
      <formula>B604&gt;0</formula>
    </cfRule>
    <cfRule type="cellIs" dxfId="68" priority="105" operator="greaterThan">
      <formula>0</formula>
    </cfRule>
  </conditionalFormatting>
  <conditionalFormatting sqref="L604:L613">
    <cfRule type="expression" dxfId="67" priority="100">
      <formula>B604=""</formula>
    </cfRule>
    <cfRule type="expression" priority="101">
      <formula>B604&gt;0</formula>
    </cfRule>
    <cfRule type="cellIs" dxfId="66" priority="102" operator="greaterThan">
      <formula>0</formula>
    </cfRule>
  </conditionalFormatting>
  <conditionalFormatting sqref="L604:L613">
    <cfRule type="expression" dxfId="65" priority="97">
      <formula>B604=""</formula>
    </cfRule>
    <cfRule type="expression" priority="98">
      <formula>B604&gt;0</formula>
    </cfRule>
    <cfRule type="cellIs" dxfId="64" priority="99" operator="greaterThan">
      <formula>0</formula>
    </cfRule>
  </conditionalFormatting>
  <conditionalFormatting sqref="L604:L613">
    <cfRule type="expression" dxfId="63" priority="94">
      <formula>B604=""</formula>
    </cfRule>
    <cfRule type="expression" priority="95">
      <formula>B604&gt;0</formula>
    </cfRule>
    <cfRule type="cellIs" dxfId="62" priority="96" operator="greaterThan">
      <formula>0</formula>
    </cfRule>
  </conditionalFormatting>
  <conditionalFormatting sqref="L604:L613">
    <cfRule type="expression" dxfId="61" priority="91">
      <formula>B604=""</formula>
    </cfRule>
    <cfRule type="expression" priority="92">
      <formula>B604&gt;0</formula>
    </cfRule>
    <cfRule type="cellIs" dxfId="60" priority="93" operator="greaterThan">
      <formula>0</formula>
    </cfRule>
  </conditionalFormatting>
  <conditionalFormatting sqref="L604:L613">
    <cfRule type="expression" dxfId="59" priority="88">
      <formula>B604=""</formula>
    </cfRule>
    <cfRule type="expression" priority="89">
      <formula>B604&gt;0</formula>
    </cfRule>
    <cfRule type="cellIs" dxfId="58" priority="90" operator="greaterThan">
      <formula>0</formula>
    </cfRule>
  </conditionalFormatting>
  <conditionalFormatting sqref="L604:L613">
    <cfRule type="expression" dxfId="57" priority="85">
      <formula>B604=""</formula>
    </cfRule>
    <cfRule type="expression" priority="86">
      <formula>B604&gt;0</formula>
    </cfRule>
    <cfRule type="cellIs" dxfId="56" priority="87" operator="greaterThan">
      <formula>0</formula>
    </cfRule>
  </conditionalFormatting>
  <conditionalFormatting sqref="L604:L613">
    <cfRule type="expression" dxfId="55" priority="82">
      <formula>B604=""</formula>
    </cfRule>
    <cfRule type="expression" priority="83">
      <formula>B604&gt;0</formula>
    </cfRule>
    <cfRule type="cellIs" dxfId="54" priority="84" operator="greaterThan">
      <formula>0</formula>
    </cfRule>
  </conditionalFormatting>
  <conditionalFormatting sqref="L604:L613">
    <cfRule type="expression" dxfId="53" priority="79">
      <formula>B604=""</formula>
    </cfRule>
    <cfRule type="expression" priority="80">
      <formula>B604&gt;0</formula>
    </cfRule>
    <cfRule type="cellIs" dxfId="52" priority="81" operator="greaterThan">
      <formula>0</formula>
    </cfRule>
  </conditionalFormatting>
  <conditionalFormatting sqref="L604:L613">
    <cfRule type="expression" dxfId="51" priority="76">
      <formula>B604=""</formula>
    </cfRule>
    <cfRule type="expression" priority="77">
      <formula>B604&gt;0</formula>
    </cfRule>
    <cfRule type="cellIs" dxfId="50" priority="78" operator="greaterThan">
      <formula>0</formula>
    </cfRule>
  </conditionalFormatting>
  <conditionalFormatting sqref="L604:L613">
    <cfRule type="expression" dxfId="49" priority="73">
      <formula>B604=""</formula>
    </cfRule>
    <cfRule type="expression" priority="74">
      <formula>B604&gt;0</formula>
    </cfRule>
    <cfRule type="cellIs" dxfId="48" priority="75" operator="greaterThan">
      <formula>0</formula>
    </cfRule>
  </conditionalFormatting>
  <conditionalFormatting sqref="L604:L613">
    <cfRule type="expression" dxfId="47" priority="70">
      <formula>B604=""</formula>
    </cfRule>
    <cfRule type="expression" priority="71">
      <formula>B604&gt;0</formula>
    </cfRule>
    <cfRule type="cellIs" dxfId="46" priority="72" operator="greaterThan">
      <formula>0</formula>
    </cfRule>
  </conditionalFormatting>
  <conditionalFormatting sqref="L604:L613">
    <cfRule type="expression" dxfId="45" priority="67">
      <formula>B604=""</formula>
    </cfRule>
    <cfRule type="expression" priority="68">
      <formula>B604&gt;0</formula>
    </cfRule>
    <cfRule type="cellIs" dxfId="44" priority="69" operator="greaterThan">
      <formula>0</formula>
    </cfRule>
  </conditionalFormatting>
  <conditionalFormatting sqref="L604:L613">
    <cfRule type="expression" dxfId="43" priority="64">
      <formula>B604=""</formula>
    </cfRule>
    <cfRule type="expression" priority="65">
      <formula>B604&gt;0</formula>
    </cfRule>
    <cfRule type="cellIs" dxfId="42" priority="66" operator="greaterThan">
      <formula>0</formula>
    </cfRule>
  </conditionalFormatting>
  <conditionalFormatting sqref="L604:L613">
    <cfRule type="expression" dxfId="41" priority="61">
      <formula>B604=""</formula>
    </cfRule>
    <cfRule type="expression" priority="62">
      <formula>B604&gt;0</formula>
    </cfRule>
    <cfRule type="cellIs" dxfId="40" priority="63" operator="greaterThan">
      <formula>0</formula>
    </cfRule>
  </conditionalFormatting>
  <conditionalFormatting sqref="L604:L613">
    <cfRule type="expression" dxfId="39" priority="58">
      <formula>B604=""</formula>
    </cfRule>
    <cfRule type="expression" priority="59">
      <formula>B604&gt;0</formula>
    </cfRule>
    <cfRule type="cellIs" dxfId="38" priority="60" operator="greaterThan">
      <formula>0</formula>
    </cfRule>
  </conditionalFormatting>
  <conditionalFormatting sqref="L604:L613">
    <cfRule type="expression" dxfId="37" priority="55">
      <formula>B604=""</formula>
    </cfRule>
    <cfRule type="expression" priority="56">
      <formula>B604&gt;0</formula>
    </cfRule>
    <cfRule type="cellIs" dxfId="36" priority="57" operator="greaterThan">
      <formula>0</formula>
    </cfRule>
  </conditionalFormatting>
  <conditionalFormatting sqref="L604:L613">
    <cfRule type="expression" dxfId="35" priority="52">
      <formula>B604=""</formula>
    </cfRule>
    <cfRule type="expression" priority="53">
      <formula>B604&gt;0</formula>
    </cfRule>
    <cfRule type="cellIs" dxfId="34" priority="54" operator="greaterThan">
      <formula>0</formula>
    </cfRule>
  </conditionalFormatting>
  <conditionalFormatting sqref="L604:L613">
    <cfRule type="expression" dxfId="33" priority="49">
      <formula>B604=""</formula>
    </cfRule>
    <cfRule type="expression" priority="50">
      <formula>B604&gt;0</formula>
    </cfRule>
    <cfRule type="cellIs" dxfId="32" priority="51" operator="greaterThan">
      <formula>0</formula>
    </cfRule>
  </conditionalFormatting>
  <conditionalFormatting sqref="L604:L613">
    <cfRule type="expression" dxfId="31" priority="46">
      <formula>B604=""</formula>
    </cfRule>
    <cfRule type="expression" priority="47">
      <formula>B604&gt;0</formula>
    </cfRule>
    <cfRule type="cellIs" dxfId="30" priority="48" operator="greaterThan">
      <formula>0</formula>
    </cfRule>
  </conditionalFormatting>
  <conditionalFormatting sqref="L604:L613">
    <cfRule type="expression" dxfId="29" priority="43">
      <formula>B604=""</formula>
    </cfRule>
    <cfRule type="expression" priority="44">
      <formula>B604&gt;0</formula>
    </cfRule>
    <cfRule type="cellIs" dxfId="28" priority="45" operator="greaterThan">
      <formula>0</formula>
    </cfRule>
  </conditionalFormatting>
  <conditionalFormatting sqref="L604:L613">
    <cfRule type="expression" dxfId="27" priority="40">
      <formula>B604=""</formula>
    </cfRule>
    <cfRule type="expression" priority="41">
      <formula>B604&gt;0</formula>
    </cfRule>
    <cfRule type="cellIs" dxfId="26" priority="42" operator="greaterThan">
      <formula>0</formula>
    </cfRule>
  </conditionalFormatting>
  <conditionalFormatting sqref="L604:L613">
    <cfRule type="expression" dxfId="25" priority="37">
      <formula>B604=""</formula>
    </cfRule>
    <cfRule type="expression" priority="38">
      <formula>B604&gt;0</formula>
    </cfRule>
    <cfRule type="cellIs" dxfId="24" priority="39" operator="greaterThan">
      <formula>0</formula>
    </cfRule>
  </conditionalFormatting>
  <conditionalFormatting sqref="L604:L613">
    <cfRule type="expression" dxfId="23" priority="34">
      <formula>B604=""</formula>
    </cfRule>
    <cfRule type="expression" priority="35">
      <formula>B604&gt;0</formula>
    </cfRule>
    <cfRule type="cellIs" dxfId="22" priority="36" operator="greaterThan">
      <formula>0</formula>
    </cfRule>
  </conditionalFormatting>
  <conditionalFormatting sqref="L604:L613">
    <cfRule type="expression" dxfId="21" priority="31">
      <formula>B604=""</formula>
    </cfRule>
    <cfRule type="expression" priority="32">
      <formula>B604&gt;0</formula>
    </cfRule>
    <cfRule type="cellIs" dxfId="20" priority="33" operator="greaterThan">
      <formula>0</formula>
    </cfRule>
  </conditionalFormatting>
  <conditionalFormatting sqref="L604:L613">
    <cfRule type="expression" dxfId="19" priority="28">
      <formula>B604=""</formula>
    </cfRule>
    <cfRule type="expression" priority="29">
      <formula>B604&gt;0</formula>
    </cfRule>
    <cfRule type="cellIs" dxfId="18" priority="30" operator="greaterThan">
      <formula>0</formula>
    </cfRule>
  </conditionalFormatting>
  <conditionalFormatting sqref="L604:L613">
    <cfRule type="expression" dxfId="17" priority="25">
      <formula>B604=""</formula>
    </cfRule>
    <cfRule type="expression" priority="26">
      <formula>B604&gt;0</formula>
    </cfRule>
    <cfRule type="cellIs" dxfId="16" priority="27" operator="greaterThan">
      <formula>0</formula>
    </cfRule>
  </conditionalFormatting>
  <conditionalFormatting sqref="L604:L613">
    <cfRule type="expression" dxfId="15" priority="22">
      <formula>B604=""</formula>
    </cfRule>
    <cfRule type="expression" priority="23">
      <formula>B604&gt;0</formula>
    </cfRule>
    <cfRule type="cellIs" dxfId="14" priority="24" operator="greaterThan">
      <formula>0</formula>
    </cfRule>
  </conditionalFormatting>
  <conditionalFormatting sqref="L604:L613">
    <cfRule type="expression" dxfId="13" priority="19">
      <formula>B604=""</formula>
    </cfRule>
    <cfRule type="expression" priority="20">
      <formula>B604&gt;0</formula>
    </cfRule>
    <cfRule type="cellIs" dxfId="12" priority="21" operator="greaterThan">
      <formula>0</formula>
    </cfRule>
  </conditionalFormatting>
  <conditionalFormatting sqref="L604:L613">
    <cfRule type="expression" dxfId="11" priority="16">
      <formula>B604=""</formula>
    </cfRule>
    <cfRule type="expression" priority="17">
      <formula>B604&gt;0</formula>
    </cfRule>
    <cfRule type="cellIs" dxfId="10" priority="18" operator="greaterThan">
      <formula>0</formula>
    </cfRule>
  </conditionalFormatting>
  <conditionalFormatting sqref="L604:L613">
    <cfRule type="expression" dxfId="9" priority="13">
      <formula>B604=""</formula>
    </cfRule>
    <cfRule type="expression" priority="14">
      <formula>B604&gt;0</formula>
    </cfRule>
    <cfRule type="cellIs" dxfId="8" priority="15" operator="greaterThan">
      <formula>0</formula>
    </cfRule>
  </conditionalFormatting>
  <conditionalFormatting sqref="L604:L613">
    <cfRule type="expression" dxfId="7" priority="10">
      <formula>B604=""</formula>
    </cfRule>
    <cfRule type="expression" priority="11">
      <formula>B604&gt;0</formula>
    </cfRule>
    <cfRule type="cellIs" dxfId="6" priority="12" operator="greaterThan">
      <formula>0</formula>
    </cfRule>
  </conditionalFormatting>
  <conditionalFormatting sqref="L604:L613">
    <cfRule type="expression" dxfId="5" priority="7">
      <formula>B604=""</formula>
    </cfRule>
    <cfRule type="expression" priority="8">
      <formula>B604&gt;0</formula>
    </cfRule>
    <cfRule type="cellIs" dxfId="4" priority="9" operator="greaterThan">
      <formula>0</formula>
    </cfRule>
  </conditionalFormatting>
  <conditionalFormatting sqref="L604:L613">
    <cfRule type="expression" dxfId="3" priority="4">
      <formula>B604=""</formula>
    </cfRule>
    <cfRule type="expression" priority="5">
      <formula>B604&gt;0</formula>
    </cfRule>
    <cfRule type="cellIs" dxfId="2" priority="6" operator="greaterThan">
      <formula>0</formula>
    </cfRule>
  </conditionalFormatting>
  <conditionalFormatting sqref="L604:L613">
    <cfRule type="expression" dxfId="1" priority="1">
      <formula>B604=""</formula>
    </cfRule>
    <cfRule type="expression" priority="2">
      <formula>B604&gt;0</formula>
    </cfRule>
    <cfRule type="cellIs" dxfId="0" priority="3" operator="greaterThan">
      <formula>0</formula>
    </cfRule>
  </conditionalFormatting>
  <dataValidations count="4">
    <dataValidation allowBlank="1" showDropDown="1" showInputMessage="1" showErrorMessage="1" sqref="G9" xr:uid="{00000000-0002-0000-0500-000000000000}"/>
    <dataValidation type="list" allowBlank="1" showInputMessage="1" showErrorMessage="1" sqref="T4:T5" xr:uid="{00000000-0002-0000-0500-000001000000}">
      <formula1>"Lessee, Lessor"</formula1>
    </dataValidation>
    <dataValidation allowBlank="1" showInputMessage="1" showErrorMessage="1" prompt="Enter the name of the lender in this cell" sqref="Q6" xr:uid="{00000000-0002-0000-0500-000002000000}"/>
    <dataValidation showDropDown="1" showInputMessage="1" showErrorMessage="1" sqref="S4:S5" xr:uid="{00000000-0002-0000-0500-000003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
  <sheetViews>
    <sheetView workbookViewId="0">
      <selection activeCell="J29" sqref="J29"/>
    </sheetView>
  </sheetViews>
  <sheetFormatPr defaultRowHeight="14.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A2"/>
  <sheetViews>
    <sheetView showGridLines="0" workbookViewId="0">
      <selection activeCell="P29" sqref="P29"/>
    </sheetView>
  </sheetViews>
  <sheetFormatPr defaultRowHeight="14.4"/>
  <sheetData>
    <row r="1" spans="1:1">
      <c r="A1" s="82" t="s">
        <v>120</v>
      </c>
    </row>
    <row r="2" spans="1:1" ht="19.8">
      <c r="A2" s="104" t="s">
        <v>121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52"/>
  <sheetViews>
    <sheetView showGridLines="0" workbookViewId="0">
      <selection activeCell="G29" sqref="G29:H31"/>
    </sheetView>
  </sheetViews>
  <sheetFormatPr defaultRowHeight="14.4"/>
  <cols>
    <col min="1" max="1" width="45.109375" customWidth="1"/>
    <col min="2" max="2" width="15.6640625" bestFit="1" customWidth="1"/>
    <col min="3" max="3" width="16.6640625" bestFit="1" customWidth="1"/>
    <col min="4" max="4" width="15.88671875" bestFit="1" customWidth="1"/>
    <col min="5" max="5" width="19" bestFit="1" customWidth="1"/>
    <col min="6" max="6" width="15.44140625" bestFit="1" customWidth="1"/>
    <col min="7" max="7" width="14.33203125" bestFit="1" customWidth="1"/>
    <col min="8" max="8" width="16.88671875" bestFit="1" customWidth="1"/>
    <col min="9" max="9" width="16.33203125" bestFit="1" customWidth="1"/>
    <col min="10" max="10" width="20.109375" bestFit="1" customWidth="1"/>
    <col min="11" max="11" width="28.5546875" bestFit="1" customWidth="1"/>
  </cols>
  <sheetData>
    <row r="1" spans="1:11">
      <c r="A1" s="107" t="s">
        <v>198</v>
      </c>
    </row>
    <row r="2" spans="1:11">
      <c r="A2" s="108">
        <v>44742</v>
      </c>
    </row>
    <row r="3" spans="1:11">
      <c r="A3" s="87"/>
      <c r="B3" s="87"/>
      <c r="C3" s="87"/>
      <c r="D3" s="87" t="s">
        <v>202</v>
      </c>
      <c r="E3" s="87"/>
      <c r="F3" s="87"/>
      <c r="G3" s="87"/>
      <c r="H3" s="87"/>
      <c r="I3" s="87"/>
      <c r="J3" s="87"/>
      <c r="K3" s="2" t="s">
        <v>179</v>
      </c>
    </row>
    <row r="4" spans="1:11">
      <c r="A4" s="116" t="s">
        <v>180</v>
      </c>
      <c r="B4" s="116" t="s">
        <v>181</v>
      </c>
      <c r="C4" s="116" t="s">
        <v>182</v>
      </c>
      <c r="D4" s="116" t="s">
        <v>200</v>
      </c>
      <c r="E4" s="116" t="s">
        <v>199</v>
      </c>
      <c r="F4" s="116" t="s">
        <v>183</v>
      </c>
      <c r="G4" s="116" t="s">
        <v>184</v>
      </c>
      <c r="H4" s="116" t="s">
        <v>185</v>
      </c>
      <c r="I4" s="116" t="s">
        <v>186</v>
      </c>
      <c r="J4" s="116" t="s">
        <v>187</v>
      </c>
      <c r="K4" s="117" t="s">
        <v>188</v>
      </c>
    </row>
    <row r="5" spans="1:11">
      <c r="A5" s="109"/>
      <c r="B5" s="14">
        <v>0</v>
      </c>
      <c r="C5" s="110">
        <v>1</v>
      </c>
      <c r="D5" s="110">
        <v>0</v>
      </c>
      <c r="E5" s="111">
        <f t="shared" ref="E5:E35" si="0">D5+I5</f>
        <v>1</v>
      </c>
      <c r="F5" s="111">
        <f t="shared" ref="F5:F35" si="1">C5-E5</f>
        <v>0</v>
      </c>
      <c r="G5" s="112">
        <v>1</v>
      </c>
      <c r="H5" s="14">
        <v>44742</v>
      </c>
      <c r="I5" s="111">
        <f t="shared" ref="I5:I35" si="2">ROUND((C5/G5),0)</f>
        <v>1</v>
      </c>
      <c r="J5" t="s">
        <v>189</v>
      </c>
    </row>
    <row r="6" spans="1:11">
      <c r="B6" s="113"/>
      <c r="C6" s="110"/>
      <c r="D6" s="110">
        <v>0</v>
      </c>
      <c r="E6" s="111">
        <f t="shared" si="0"/>
        <v>0</v>
      </c>
      <c r="F6" s="111">
        <f t="shared" si="1"/>
        <v>0</v>
      </c>
      <c r="G6">
        <v>1</v>
      </c>
      <c r="H6" s="14"/>
      <c r="I6" s="111">
        <f t="shared" si="2"/>
        <v>0</v>
      </c>
      <c r="J6" t="s">
        <v>189</v>
      </c>
    </row>
    <row r="7" spans="1:11">
      <c r="B7" s="113"/>
      <c r="C7" s="110"/>
      <c r="D7" s="110">
        <v>0</v>
      </c>
      <c r="E7" s="111">
        <f t="shared" ref="E7:E19" si="3">D7+I7</f>
        <v>0</v>
      </c>
      <c r="F7" s="111">
        <f t="shared" ref="F7:F19" si="4">C7-E7</f>
        <v>0</v>
      </c>
      <c r="G7">
        <v>1</v>
      </c>
      <c r="H7" s="14"/>
      <c r="I7" s="111">
        <f t="shared" ref="I7:I19" si="5">ROUND((C7/G7),0)</f>
        <v>0</v>
      </c>
      <c r="J7" t="s">
        <v>189</v>
      </c>
    </row>
    <row r="8" spans="1:11">
      <c r="B8" s="113"/>
      <c r="C8" s="110"/>
      <c r="E8" s="111">
        <f t="shared" si="3"/>
        <v>0</v>
      </c>
      <c r="F8" s="111">
        <f t="shared" si="4"/>
        <v>0</v>
      </c>
      <c r="G8">
        <v>1</v>
      </c>
      <c r="H8" s="14"/>
      <c r="I8" s="111">
        <f t="shared" si="5"/>
        <v>0</v>
      </c>
      <c r="J8" t="s">
        <v>189</v>
      </c>
    </row>
    <row r="9" spans="1:11">
      <c r="B9" s="113"/>
      <c r="C9" s="110"/>
      <c r="E9" s="111">
        <f t="shared" si="3"/>
        <v>0</v>
      </c>
      <c r="F9" s="111">
        <f t="shared" si="4"/>
        <v>0</v>
      </c>
      <c r="G9">
        <v>1</v>
      </c>
      <c r="H9" s="14"/>
      <c r="I9" s="111">
        <f t="shared" si="5"/>
        <v>0</v>
      </c>
      <c r="J9" t="s">
        <v>189</v>
      </c>
    </row>
    <row r="10" spans="1:11">
      <c r="B10" s="113"/>
      <c r="C10" s="110"/>
      <c r="E10" s="111">
        <f t="shared" si="3"/>
        <v>0</v>
      </c>
      <c r="F10" s="111">
        <f t="shared" si="4"/>
        <v>0</v>
      </c>
      <c r="G10">
        <v>1</v>
      </c>
      <c r="H10" s="14"/>
      <c r="I10" s="111">
        <f t="shared" si="5"/>
        <v>0</v>
      </c>
      <c r="J10" t="s">
        <v>189</v>
      </c>
    </row>
    <row r="11" spans="1:11">
      <c r="B11" s="113"/>
      <c r="C11" s="110"/>
      <c r="E11" s="111">
        <f t="shared" si="3"/>
        <v>0</v>
      </c>
      <c r="F11" s="111">
        <f t="shared" si="4"/>
        <v>0</v>
      </c>
      <c r="G11">
        <v>1</v>
      </c>
      <c r="H11" s="14"/>
      <c r="I11" s="111">
        <f t="shared" si="5"/>
        <v>0</v>
      </c>
      <c r="J11" t="s">
        <v>189</v>
      </c>
    </row>
    <row r="12" spans="1:11">
      <c r="B12" s="113"/>
      <c r="C12" s="110"/>
      <c r="E12" s="111">
        <f t="shared" si="3"/>
        <v>0</v>
      </c>
      <c r="F12" s="111">
        <f t="shared" si="4"/>
        <v>0</v>
      </c>
      <c r="G12">
        <v>1</v>
      </c>
      <c r="H12" s="14"/>
      <c r="I12" s="111">
        <f t="shared" si="5"/>
        <v>0</v>
      </c>
      <c r="J12" t="s">
        <v>189</v>
      </c>
    </row>
    <row r="13" spans="1:11">
      <c r="B13" s="113"/>
      <c r="C13" s="110"/>
      <c r="E13" s="111">
        <f t="shared" si="3"/>
        <v>0</v>
      </c>
      <c r="F13" s="111">
        <f t="shared" si="4"/>
        <v>0</v>
      </c>
      <c r="G13">
        <v>1</v>
      </c>
      <c r="H13" s="14"/>
      <c r="I13" s="111">
        <f t="shared" si="5"/>
        <v>0</v>
      </c>
      <c r="J13" t="s">
        <v>189</v>
      </c>
    </row>
    <row r="14" spans="1:11">
      <c r="B14" s="113"/>
      <c r="C14" s="110"/>
      <c r="E14" s="111">
        <f t="shared" si="3"/>
        <v>0</v>
      </c>
      <c r="F14" s="111">
        <f t="shared" si="4"/>
        <v>0</v>
      </c>
      <c r="G14">
        <v>1</v>
      </c>
      <c r="H14" s="14"/>
      <c r="I14" s="111">
        <f t="shared" si="5"/>
        <v>0</v>
      </c>
      <c r="J14" t="s">
        <v>189</v>
      </c>
    </row>
    <row r="15" spans="1:11">
      <c r="B15" s="113"/>
      <c r="C15" s="110"/>
      <c r="E15" s="111">
        <f t="shared" si="3"/>
        <v>0</v>
      </c>
      <c r="F15" s="111">
        <f t="shared" si="4"/>
        <v>0</v>
      </c>
      <c r="G15">
        <v>1</v>
      </c>
      <c r="H15" s="14"/>
      <c r="I15" s="111">
        <f t="shared" si="5"/>
        <v>0</v>
      </c>
      <c r="J15" t="s">
        <v>189</v>
      </c>
    </row>
    <row r="16" spans="1:11">
      <c r="B16" s="113"/>
      <c r="C16" s="110"/>
      <c r="E16" s="111">
        <f t="shared" si="3"/>
        <v>0</v>
      </c>
      <c r="F16" s="111">
        <f t="shared" si="4"/>
        <v>0</v>
      </c>
      <c r="G16">
        <v>1</v>
      </c>
      <c r="H16" s="14"/>
      <c r="I16" s="111">
        <f t="shared" si="5"/>
        <v>0</v>
      </c>
      <c r="J16" t="s">
        <v>189</v>
      </c>
    </row>
    <row r="17" spans="2:10">
      <c r="B17" s="113"/>
      <c r="C17" s="110"/>
      <c r="E17" s="111">
        <f t="shared" si="3"/>
        <v>0</v>
      </c>
      <c r="F17" s="111">
        <f t="shared" si="4"/>
        <v>0</v>
      </c>
      <c r="G17">
        <v>1</v>
      </c>
      <c r="H17" s="14"/>
      <c r="I17" s="111">
        <f t="shared" si="5"/>
        <v>0</v>
      </c>
      <c r="J17" t="s">
        <v>189</v>
      </c>
    </row>
    <row r="18" spans="2:10">
      <c r="B18" s="113"/>
      <c r="C18" s="110"/>
      <c r="E18" s="111">
        <f t="shared" si="3"/>
        <v>0</v>
      </c>
      <c r="F18" s="111">
        <f t="shared" si="4"/>
        <v>0</v>
      </c>
      <c r="G18">
        <v>1</v>
      </c>
      <c r="H18" s="14"/>
      <c r="I18" s="111">
        <f t="shared" si="5"/>
        <v>0</v>
      </c>
      <c r="J18" t="s">
        <v>189</v>
      </c>
    </row>
    <row r="19" spans="2:10">
      <c r="B19" s="113"/>
      <c r="C19" s="110"/>
      <c r="E19" s="111">
        <f t="shared" si="3"/>
        <v>0</v>
      </c>
      <c r="F19" s="111">
        <f t="shared" si="4"/>
        <v>0</v>
      </c>
      <c r="G19">
        <v>1</v>
      </c>
      <c r="H19" s="14"/>
      <c r="I19" s="111">
        <f t="shared" si="5"/>
        <v>0</v>
      </c>
      <c r="J19" t="s">
        <v>189</v>
      </c>
    </row>
    <row r="20" spans="2:10">
      <c r="B20" s="113"/>
      <c r="C20" s="110"/>
      <c r="D20" s="110">
        <v>0</v>
      </c>
      <c r="E20" s="111">
        <f t="shared" si="0"/>
        <v>0</v>
      </c>
      <c r="F20" s="111">
        <f t="shared" si="1"/>
        <v>0</v>
      </c>
      <c r="G20">
        <v>1</v>
      </c>
      <c r="H20" s="14"/>
      <c r="I20" s="111">
        <f t="shared" si="2"/>
        <v>0</v>
      </c>
      <c r="J20" t="s">
        <v>189</v>
      </c>
    </row>
    <row r="21" spans="2:10">
      <c r="B21" s="113"/>
      <c r="C21" s="110"/>
      <c r="E21" s="111">
        <f t="shared" si="0"/>
        <v>0</v>
      </c>
      <c r="F21" s="111">
        <f t="shared" si="1"/>
        <v>0</v>
      </c>
      <c r="G21">
        <v>1</v>
      </c>
      <c r="H21" s="14"/>
      <c r="I21" s="111">
        <f t="shared" si="2"/>
        <v>0</v>
      </c>
      <c r="J21" t="s">
        <v>189</v>
      </c>
    </row>
    <row r="22" spans="2:10">
      <c r="B22" s="113"/>
      <c r="C22" s="110"/>
      <c r="E22" s="111">
        <f t="shared" si="0"/>
        <v>0</v>
      </c>
      <c r="F22" s="111">
        <f t="shared" si="1"/>
        <v>0</v>
      </c>
      <c r="G22">
        <v>1</v>
      </c>
      <c r="H22" s="14"/>
      <c r="I22" s="111">
        <f t="shared" si="2"/>
        <v>0</v>
      </c>
      <c r="J22" t="s">
        <v>189</v>
      </c>
    </row>
    <row r="23" spans="2:10">
      <c r="B23" s="113"/>
      <c r="C23" s="110"/>
      <c r="E23" s="111">
        <f t="shared" si="0"/>
        <v>0</v>
      </c>
      <c r="F23" s="111">
        <f t="shared" si="1"/>
        <v>0</v>
      </c>
      <c r="G23">
        <v>1</v>
      </c>
      <c r="H23" s="14"/>
      <c r="I23" s="111">
        <f t="shared" si="2"/>
        <v>0</v>
      </c>
      <c r="J23" t="s">
        <v>189</v>
      </c>
    </row>
    <row r="24" spans="2:10">
      <c r="B24" s="113"/>
      <c r="C24" s="110"/>
      <c r="E24" s="111">
        <f t="shared" si="0"/>
        <v>0</v>
      </c>
      <c r="F24" s="111">
        <f t="shared" si="1"/>
        <v>0</v>
      </c>
      <c r="G24">
        <v>1</v>
      </c>
      <c r="H24" s="14"/>
      <c r="I24" s="111">
        <f t="shared" si="2"/>
        <v>0</v>
      </c>
      <c r="J24" t="s">
        <v>189</v>
      </c>
    </row>
    <row r="25" spans="2:10">
      <c r="B25" s="113"/>
      <c r="C25" s="110"/>
      <c r="E25" s="111">
        <f t="shared" si="0"/>
        <v>0</v>
      </c>
      <c r="F25" s="111">
        <f t="shared" si="1"/>
        <v>0</v>
      </c>
      <c r="G25">
        <v>1</v>
      </c>
      <c r="H25" s="14"/>
      <c r="I25" s="111">
        <f t="shared" si="2"/>
        <v>0</v>
      </c>
      <c r="J25" t="s">
        <v>189</v>
      </c>
    </row>
    <row r="26" spans="2:10">
      <c r="B26" s="113"/>
      <c r="C26" s="110"/>
      <c r="E26" s="111">
        <f t="shared" si="0"/>
        <v>0</v>
      </c>
      <c r="F26" s="111">
        <f t="shared" si="1"/>
        <v>0</v>
      </c>
      <c r="G26">
        <v>1</v>
      </c>
      <c r="H26" s="14"/>
      <c r="I26" s="111">
        <f t="shared" si="2"/>
        <v>0</v>
      </c>
      <c r="J26" t="s">
        <v>189</v>
      </c>
    </row>
    <row r="27" spans="2:10">
      <c r="B27" s="113"/>
      <c r="C27" s="110"/>
      <c r="E27" s="111">
        <f t="shared" si="0"/>
        <v>0</v>
      </c>
      <c r="F27" s="111">
        <f t="shared" si="1"/>
        <v>0</v>
      </c>
      <c r="G27">
        <v>1</v>
      </c>
      <c r="H27" s="14"/>
      <c r="I27" s="111">
        <f t="shared" si="2"/>
        <v>0</v>
      </c>
      <c r="J27" t="s">
        <v>189</v>
      </c>
    </row>
    <row r="28" spans="2:10">
      <c r="B28" s="113"/>
      <c r="C28" s="110"/>
      <c r="E28" s="111">
        <f t="shared" si="0"/>
        <v>0</v>
      </c>
      <c r="F28" s="111">
        <f t="shared" si="1"/>
        <v>0</v>
      </c>
      <c r="G28">
        <v>1</v>
      </c>
      <c r="H28" s="14"/>
      <c r="I28" s="111">
        <f t="shared" si="2"/>
        <v>0</v>
      </c>
      <c r="J28" t="s">
        <v>189</v>
      </c>
    </row>
    <row r="29" spans="2:10">
      <c r="B29" s="113"/>
      <c r="C29" s="110"/>
      <c r="E29" s="111">
        <f t="shared" si="0"/>
        <v>0</v>
      </c>
      <c r="F29" s="111">
        <f t="shared" si="1"/>
        <v>0</v>
      </c>
      <c r="G29">
        <v>1</v>
      </c>
      <c r="H29" s="14"/>
      <c r="I29" s="111">
        <f t="shared" si="2"/>
        <v>0</v>
      </c>
      <c r="J29" t="s">
        <v>189</v>
      </c>
    </row>
    <row r="30" spans="2:10">
      <c r="B30" s="113"/>
      <c r="C30" s="110"/>
      <c r="E30" s="111">
        <f t="shared" si="0"/>
        <v>0</v>
      </c>
      <c r="F30" s="111">
        <f t="shared" si="1"/>
        <v>0</v>
      </c>
      <c r="G30">
        <v>1</v>
      </c>
      <c r="H30" s="14"/>
      <c r="I30" s="111">
        <f t="shared" si="2"/>
        <v>0</v>
      </c>
      <c r="J30" t="s">
        <v>189</v>
      </c>
    </row>
    <row r="31" spans="2:10">
      <c r="B31" s="113"/>
      <c r="C31" s="110"/>
      <c r="E31" s="111">
        <f t="shared" si="0"/>
        <v>0</v>
      </c>
      <c r="F31" s="111">
        <f t="shared" si="1"/>
        <v>0</v>
      </c>
      <c r="G31">
        <v>1</v>
      </c>
      <c r="H31" s="14"/>
      <c r="I31" s="111">
        <f t="shared" si="2"/>
        <v>0</v>
      </c>
      <c r="J31" t="s">
        <v>189</v>
      </c>
    </row>
    <row r="32" spans="2:10">
      <c r="B32" s="113"/>
      <c r="C32" s="110"/>
      <c r="E32" s="111">
        <f t="shared" si="0"/>
        <v>0</v>
      </c>
      <c r="F32" s="111">
        <f t="shared" si="1"/>
        <v>0</v>
      </c>
      <c r="G32">
        <v>1</v>
      </c>
      <c r="H32" s="14"/>
      <c r="I32" s="111">
        <f t="shared" si="2"/>
        <v>0</v>
      </c>
      <c r="J32" t="s">
        <v>189</v>
      </c>
    </row>
    <row r="33" spans="1:10">
      <c r="B33" s="113"/>
      <c r="C33" s="110"/>
      <c r="E33" s="111">
        <f t="shared" si="0"/>
        <v>0</v>
      </c>
      <c r="F33" s="111">
        <f t="shared" si="1"/>
        <v>0</v>
      </c>
      <c r="G33">
        <v>1</v>
      </c>
      <c r="H33" s="14"/>
      <c r="I33" s="111">
        <f t="shared" si="2"/>
        <v>0</v>
      </c>
      <c r="J33" t="s">
        <v>189</v>
      </c>
    </row>
    <row r="34" spans="1:10">
      <c r="B34" s="113"/>
      <c r="C34" s="110"/>
      <c r="E34" s="111">
        <f t="shared" si="0"/>
        <v>0</v>
      </c>
      <c r="F34" s="111">
        <f t="shared" si="1"/>
        <v>0</v>
      </c>
      <c r="G34">
        <v>1</v>
      </c>
      <c r="H34" s="14"/>
      <c r="I34" s="111">
        <f t="shared" si="2"/>
        <v>0</v>
      </c>
      <c r="J34" t="s">
        <v>189</v>
      </c>
    </row>
    <row r="35" spans="1:10">
      <c r="B35" s="113"/>
      <c r="C35" s="110"/>
      <c r="E35" s="111">
        <f t="shared" si="0"/>
        <v>0</v>
      </c>
      <c r="F35" s="111">
        <f t="shared" si="1"/>
        <v>0</v>
      </c>
      <c r="G35">
        <v>1</v>
      </c>
      <c r="H35" s="14"/>
      <c r="I35" s="111">
        <f t="shared" si="2"/>
        <v>0</v>
      </c>
      <c r="J35" t="s">
        <v>189</v>
      </c>
    </row>
    <row r="36" spans="1:10">
      <c r="B36" s="14"/>
      <c r="C36" s="110"/>
      <c r="E36" s="111"/>
      <c r="F36" s="111"/>
      <c r="H36" s="14"/>
      <c r="I36" s="111"/>
    </row>
    <row r="37" spans="1:10" ht="15" thickBot="1">
      <c r="A37" t="s">
        <v>190</v>
      </c>
      <c r="B37" s="14"/>
      <c r="C37" s="114">
        <f>SUM(C5:C36)</f>
        <v>1</v>
      </c>
      <c r="E37" s="114">
        <f>SUM(E5:E36)</f>
        <v>1</v>
      </c>
      <c r="F37" s="114">
        <f>SUM(F5:F36)</f>
        <v>0</v>
      </c>
      <c r="H37" s="14"/>
      <c r="I37" s="114">
        <f>SUM(I5:I36)</f>
        <v>1</v>
      </c>
    </row>
    <row r="38" spans="1:10" ht="15" thickTop="1">
      <c r="B38" s="14"/>
      <c r="C38" s="110"/>
      <c r="E38" s="111"/>
      <c r="F38" s="111"/>
      <c r="H38" s="14"/>
      <c r="I38" s="111"/>
    </row>
    <row r="40" spans="1:10">
      <c r="A40" s="235" t="s">
        <v>191</v>
      </c>
      <c r="B40" s="235"/>
      <c r="C40" s="235"/>
    </row>
    <row r="44" spans="1:10">
      <c r="A44" t="s">
        <v>201</v>
      </c>
    </row>
    <row r="46" spans="1:10">
      <c r="A46" t="s">
        <v>192</v>
      </c>
      <c r="C46" s="115">
        <f>+C37</f>
        <v>1</v>
      </c>
      <c r="E46" s="112"/>
    </row>
    <row r="47" spans="1:10">
      <c r="A47" t="s">
        <v>193</v>
      </c>
      <c r="D47" s="115">
        <f>+SUM(C35+C30+C31+C32+C33+C21+C22+C23+C24)</f>
        <v>0</v>
      </c>
    </row>
    <row r="48" spans="1:10">
      <c r="A48" t="s">
        <v>194</v>
      </c>
      <c r="D48" s="115">
        <f>+C6+C20+C25+C26+C27+C28+C29+C34+C5</f>
        <v>1</v>
      </c>
    </row>
    <row r="49" spans="1:4">
      <c r="A49" t="s">
        <v>195</v>
      </c>
    </row>
    <row r="51" spans="1:4">
      <c r="A51" t="s">
        <v>196</v>
      </c>
      <c r="C51" s="115">
        <f>+I37</f>
        <v>1</v>
      </c>
    </row>
    <row r="52" spans="1:4">
      <c r="A52" t="s">
        <v>197</v>
      </c>
      <c r="D52" s="115">
        <f>+I37</f>
        <v>1</v>
      </c>
    </row>
  </sheetData>
  <mergeCells count="1">
    <mergeCell ref="A40:C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Inventory</vt:lpstr>
      <vt:lpstr>Notes Tab</vt:lpstr>
      <vt:lpstr>Asset Classes</vt:lpstr>
      <vt:lpstr>Notes_Instructions - to ws</vt:lpstr>
      <vt:lpstr>Sum_AmSched</vt:lpstr>
      <vt:lpstr>Template</vt:lpstr>
      <vt:lpstr>BegTab</vt:lpstr>
      <vt:lpstr>End Tab</vt:lpstr>
      <vt:lpstr>Lessee-Capital Assets</vt:lpstr>
      <vt:lpstr>DefInflow</vt:lpstr>
      <vt:lpstr>Journal Entry</vt:lpstr>
      <vt:lpstr>Capital and LT Rollforward</vt:lpstr>
      <vt:lpstr>Adj_Rate</vt:lpstr>
      <vt:lpstr>End_Bal</vt:lpstr>
      <vt:lpstr>lease_comm_date</vt:lpstr>
      <vt:lpstr>payfreq</vt:lpstr>
      <vt:lpstr>pmt_timing</vt:lpstr>
      <vt:lpstr>term</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Pembrook</dc:creator>
  <cp:lastModifiedBy>Marcia Evans</cp:lastModifiedBy>
  <dcterms:created xsi:type="dcterms:W3CDTF">2018-07-24T19:03:02Z</dcterms:created>
  <dcterms:modified xsi:type="dcterms:W3CDTF">2024-06-04T20:13:25Z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2024-06-04T20:12:56Z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a1f43f48-54fe-433f-9378-968b45bc6665</vt:lpwstr>
  </property>
  <property fmtid="{D5CDD505-2E9C-101B-9397-08002B2CF9AE}" pid="7" name="MSIP_Label_defa4170-0d19-0005-0004-bc88714345d2_ActionId">
    <vt:lpwstr>43b6fba6-729a-4d71-85a2-d1e82c502878</vt:lpwstr>
  </property>
  <property fmtid="{D5CDD505-2E9C-101B-9397-08002B2CF9AE}" pid="8" name="MSIP_Label_defa4170-0d19-0005-0004-bc88714345d2_ContentBits">
    <vt:lpwstr>0</vt:lpwstr>
  </property>
</Properties>
</file>